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0428" windowHeight="6048" tabRatio="825" activeTab="0"/>
  </bookViews>
  <sheets>
    <sheet name="Súhrnná bilancia" sheetId="1" r:id="rId1"/>
    <sheet name="Vývoj príjmov" sheetId="2" r:id="rId2"/>
    <sheet name="Príjmy rozdelenie" sheetId="3" r:id="rId3"/>
    <sheet name="Vývoj pohľadávok" sheetId="4" r:id="rId4"/>
    <sheet name="graf pohľadávky" sheetId="5" r:id="rId5"/>
    <sheet name="stav pohľ.podľa pob.12_13" sheetId="6" r:id="rId6"/>
    <sheet name="spôsoby vymáhania" sheetId="7" r:id="rId7"/>
    <sheet name="Opravné položky" sheetId="8" r:id="rId8"/>
    <sheet name="Exekučné návrhy" sheetId="9" r:id="rId9"/>
    <sheet name="Vydané rozhodnutia SK " sheetId="10" r:id="rId10"/>
    <sheet name="Mandátna správa" sheetId="11" r:id="rId11"/>
    <sheet name="Pohľadávky voči  ZZ" sheetId="12" r:id="rId12"/>
    <sheet name="Pohľadávky podľa pobočiek ZZ" sheetId="13" r:id="rId13"/>
    <sheet name="V po fondoch podrobne " sheetId="14" r:id="rId14"/>
    <sheet name="V delenie mesačne " sheetId="15" r:id="rId15"/>
    <sheet name="P a V hradené štátom" sheetId="16" r:id="rId16"/>
    <sheet name="zostatky na účtoch" sheetId="17" r:id="rId17"/>
    <sheet name="2012 a 2013" sheetId="18" r:id="rId18"/>
    <sheet name="Graf" sheetId="19" r:id="rId19"/>
    <sheet name="SF" sheetId="20" r:id="rId20"/>
    <sheet name="600" sheetId="21" r:id="rId21"/>
    <sheet name="700" sheetId="22" r:id="rId22"/>
    <sheet name="600 ústredie" sheetId="23" r:id="rId23"/>
    <sheet name="Úprava RR" sheetId="24" r:id="rId24"/>
    <sheet name="Hárok1" sheetId="25" r:id="rId25"/>
    <sheet name="Hárok2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__________________________col8">#REF!</definedName>
    <definedName name="_____________________________col8" localSheetId="5">#REF!</definedName>
    <definedName name="____________________________col1">#REF!</definedName>
    <definedName name="____________________________col2">#REF!</definedName>
    <definedName name="____________________________col3">#REF!</definedName>
    <definedName name="____________________________col4">#REF!</definedName>
    <definedName name="____________________________col5">#REF!</definedName>
    <definedName name="____________________________col6">#REF!</definedName>
    <definedName name="____________________________col7">#REF!</definedName>
    <definedName name="____________________________col8">#REF!</definedName>
    <definedName name="___________________________col1">#REF!</definedName>
    <definedName name="___________________________col2">#REF!</definedName>
    <definedName name="___________________________col3">#REF!</definedName>
    <definedName name="___________________________col4">#REF!</definedName>
    <definedName name="___________________________col5">#REF!</definedName>
    <definedName name="___________________________col6">#REF!</definedName>
    <definedName name="___________________________col7">#REF!</definedName>
    <definedName name="___________________________col8">#REF!</definedName>
    <definedName name="__________________________col1" localSheetId="7">#REF!</definedName>
    <definedName name="__________________________col2" localSheetId="7">#REF!</definedName>
    <definedName name="__________________________col3" localSheetId="7">#REF!</definedName>
    <definedName name="__________________________col4" localSheetId="7">#REF!</definedName>
    <definedName name="__________________________col5" localSheetId="7">#REF!</definedName>
    <definedName name="__________________________col6" localSheetId="7">#REF!</definedName>
    <definedName name="__________________________col7" localSheetId="7">#REF!</definedName>
    <definedName name="__________________________col8" localSheetId="7">#REF!</definedName>
    <definedName name="_________________________col1">#REF!</definedName>
    <definedName name="_________________________col2">#REF!</definedName>
    <definedName name="_________________________col3">#REF!</definedName>
    <definedName name="_________________________col4">#REF!</definedName>
    <definedName name="_________________________col5">#REF!</definedName>
    <definedName name="_________________________col6">#REF!</definedName>
    <definedName name="_________________________col7">#REF!</definedName>
    <definedName name="_________________________col8">#REF!</definedName>
    <definedName name="________________________col1">#REF!</definedName>
    <definedName name="________________________col2">#REF!</definedName>
    <definedName name="________________________col3">#REF!</definedName>
    <definedName name="________________________col4">#REF!</definedName>
    <definedName name="________________________col5">#REF!</definedName>
    <definedName name="________________________col6">#REF!</definedName>
    <definedName name="________________________col7">#REF!</definedName>
    <definedName name="________________________col8">#REF!</definedName>
    <definedName name="_______________________col1">#REF!</definedName>
    <definedName name="_______________________col2">#REF!</definedName>
    <definedName name="_______________________col3">#REF!</definedName>
    <definedName name="_______________________col4">#REF!</definedName>
    <definedName name="_______________________col5">#REF!</definedName>
    <definedName name="_______________________col6">#REF!</definedName>
    <definedName name="_______________________col7">#REF!</definedName>
    <definedName name="_______________________col8">#REF!</definedName>
    <definedName name="______________________col1">#REF!</definedName>
    <definedName name="______________________col2">#REF!</definedName>
    <definedName name="______________________col3">#REF!</definedName>
    <definedName name="______________________col4">#REF!</definedName>
    <definedName name="______________________col5">#REF!</definedName>
    <definedName name="______________________col6">#REF!</definedName>
    <definedName name="______________________col7">#REF!</definedName>
    <definedName name="______________________col8">#REF!</definedName>
    <definedName name="_____________________col1">#REF!</definedName>
    <definedName name="_____________________col2">#REF!</definedName>
    <definedName name="_____________________col3">#REF!</definedName>
    <definedName name="_____________________col4">#REF!</definedName>
    <definedName name="_____________________col5">#REF!</definedName>
    <definedName name="_____________________col6">#REF!</definedName>
    <definedName name="_____________________col7">#REF!</definedName>
    <definedName name="_____________________col8">#REF!</definedName>
    <definedName name="____________________col1">#REF!</definedName>
    <definedName name="____________________col2">#REF!</definedName>
    <definedName name="____________________col3">#REF!</definedName>
    <definedName name="____________________col4">#REF!</definedName>
    <definedName name="____________________col5">#REF!</definedName>
    <definedName name="____________________col6">#REF!</definedName>
    <definedName name="____________________col7">#REF!</definedName>
    <definedName name="____________________col8">#REF!</definedName>
    <definedName name="___________________col1">#REF!</definedName>
    <definedName name="___________________col2">#REF!</definedName>
    <definedName name="___________________col3">#REF!</definedName>
    <definedName name="___________________col4">#REF!</definedName>
    <definedName name="___________________col5">#REF!</definedName>
    <definedName name="___________________col6">#REF!</definedName>
    <definedName name="___________________col7">#REF!</definedName>
    <definedName name="___________________col8">#REF!</definedName>
    <definedName name="__________________col1">#REF!</definedName>
    <definedName name="__________________col2">#REF!</definedName>
    <definedName name="__________________col3">#REF!</definedName>
    <definedName name="__________________col4">#REF!</definedName>
    <definedName name="__________________col5">#REF!</definedName>
    <definedName name="__________________col6">#REF!</definedName>
    <definedName name="__________________col7">#REF!</definedName>
    <definedName name="__________________col8">#REF!</definedName>
    <definedName name="_________________col1">#REF!</definedName>
    <definedName name="_________________col2">#REF!</definedName>
    <definedName name="_________________col3">#REF!</definedName>
    <definedName name="_________________col4">#REF!</definedName>
    <definedName name="_________________col5">#REF!</definedName>
    <definedName name="_________________col6">#REF!</definedName>
    <definedName name="_________________col7">#REF!</definedName>
    <definedName name="_________________col8">#REF!</definedName>
    <definedName name="________________col1">#REF!</definedName>
    <definedName name="________________col2">#REF!</definedName>
    <definedName name="________________col3">#REF!</definedName>
    <definedName name="________________col4">#REF!</definedName>
    <definedName name="________________col5">#REF!</definedName>
    <definedName name="________________col6">#REF!</definedName>
    <definedName name="________________col7">#REF!</definedName>
    <definedName name="________________col8">#REF!</definedName>
    <definedName name="_______________col1">#REF!</definedName>
    <definedName name="_______________col2">#REF!</definedName>
    <definedName name="_______________col3">#REF!</definedName>
    <definedName name="_______________col4">#REF!</definedName>
    <definedName name="_______________col5">#REF!</definedName>
    <definedName name="_______________col6">#REF!</definedName>
    <definedName name="_______________col7">#REF!</definedName>
    <definedName name="_______________col8">#REF!</definedName>
    <definedName name="______________col1">#REF!</definedName>
    <definedName name="______________col2">#REF!</definedName>
    <definedName name="______________col3">#REF!</definedName>
    <definedName name="______________col4">#REF!</definedName>
    <definedName name="______________col5">#REF!</definedName>
    <definedName name="______________col6">#REF!</definedName>
    <definedName name="______________col7">#REF!</definedName>
    <definedName name="______________col8">#REF!</definedName>
    <definedName name="_____________col1">#REF!</definedName>
    <definedName name="_____________col2">#REF!</definedName>
    <definedName name="_____________col3">#REF!</definedName>
    <definedName name="_____________col4">#REF!</definedName>
    <definedName name="_____________col5">#REF!</definedName>
    <definedName name="_____________col6">#REF!</definedName>
    <definedName name="_____________col7">#REF!</definedName>
    <definedName name="_____________col8">#REF!</definedName>
    <definedName name="____________col1">#REF!</definedName>
    <definedName name="____________col2">#REF!</definedName>
    <definedName name="____________col3">#REF!</definedName>
    <definedName name="____________col4">#REF!</definedName>
    <definedName name="____________col5">#REF!</definedName>
    <definedName name="____________col6">#REF!</definedName>
    <definedName name="____________col7">#REF!</definedName>
    <definedName name="____________col8">#REF!</definedName>
    <definedName name="___________col1">#REF!</definedName>
    <definedName name="___________col2">#REF!</definedName>
    <definedName name="___________col255">#REF!</definedName>
    <definedName name="___________col3">#REF!</definedName>
    <definedName name="___________col4">#REF!</definedName>
    <definedName name="___________col5">#REF!</definedName>
    <definedName name="___________col6">#REF!</definedName>
    <definedName name="___________col7">#REF!</definedName>
    <definedName name="___________col8">#REF!</definedName>
    <definedName name="__________col1">#REF!</definedName>
    <definedName name="__________col2">#REF!</definedName>
    <definedName name="__________col255" localSheetId="5">#REF!</definedName>
    <definedName name="__________col3">#REF!</definedName>
    <definedName name="__________col4">#REF!</definedName>
    <definedName name="__________col5">#REF!</definedName>
    <definedName name="__________col6">#REF!</definedName>
    <definedName name="__________col7">#REF!</definedName>
    <definedName name="__________col8">#REF!</definedName>
    <definedName name="_________col1">#REF!</definedName>
    <definedName name="_________col2">#REF!</definedName>
    <definedName name="_________col225">#REF!</definedName>
    <definedName name="_________col255">#REF!</definedName>
    <definedName name="_________col3">#REF!</definedName>
    <definedName name="_________col4">#REF!</definedName>
    <definedName name="_________col5">#REF!</definedName>
    <definedName name="_________col6">#REF!</definedName>
    <definedName name="_________col7">#REF!</definedName>
    <definedName name="_________col8">#REF!</definedName>
    <definedName name="_________tab2">#REF!</definedName>
    <definedName name="_________tab33">#REF!</definedName>
    <definedName name="________col1">#REF!</definedName>
    <definedName name="________col2">#REF!</definedName>
    <definedName name="________col225">#REF!</definedName>
    <definedName name="________col255">#REF!</definedName>
    <definedName name="________col3">#REF!</definedName>
    <definedName name="________col4">#REF!</definedName>
    <definedName name="________col5">#REF!</definedName>
    <definedName name="________col6">#REF!</definedName>
    <definedName name="________col7">#REF!</definedName>
    <definedName name="________col8">#REF!</definedName>
    <definedName name="________tab2">#REF!</definedName>
    <definedName name="________tab33">#REF!</definedName>
    <definedName name="_______col1">#REF!</definedName>
    <definedName name="_______col2">#REF!</definedName>
    <definedName name="_______col225" localSheetId="5">#REF!</definedName>
    <definedName name="_______col255">#REF!</definedName>
    <definedName name="_______col3">#REF!</definedName>
    <definedName name="_______col4">#REF!</definedName>
    <definedName name="_______col5">#REF!</definedName>
    <definedName name="_______col6">#REF!</definedName>
    <definedName name="_______col7">#REF!</definedName>
    <definedName name="_______col8" localSheetId="13">#REF!</definedName>
    <definedName name="_______col8">#REF!</definedName>
    <definedName name="_______tab2" localSheetId="5">#REF!</definedName>
    <definedName name="_______tab33" localSheetId="5">#REF!</definedName>
    <definedName name="______col1">#REF!</definedName>
    <definedName name="______col2">#REF!</definedName>
    <definedName name="______col225">#REF!</definedName>
    <definedName name="______col255">#REF!</definedName>
    <definedName name="______col3">#REF!</definedName>
    <definedName name="______col4">#REF!</definedName>
    <definedName name="______col5">#REF!</definedName>
    <definedName name="______col6">#REF!</definedName>
    <definedName name="______col7">#REF!</definedName>
    <definedName name="______col8">#REF!</definedName>
    <definedName name="______tab2">#REF!</definedName>
    <definedName name="______tab33">#REF!</definedName>
    <definedName name="_____col1" localSheetId="13">#REF!</definedName>
    <definedName name="_____col1">#REF!</definedName>
    <definedName name="_____col2">#REF!</definedName>
    <definedName name="_____col225">#REF!</definedName>
    <definedName name="_____col255">#REF!</definedName>
    <definedName name="_____col3">#REF!</definedName>
    <definedName name="_____col4">#REF!</definedName>
    <definedName name="_____col5">#REF!</definedName>
    <definedName name="_____col6">#REF!</definedName>
    <definedName name="_____col7">#REF!</definedName>
    <definedName name="_____col8" localSheetId="4">#REF!</definedName>
    <definedName name="_____tab2">#REF!</definedName>
    <definedName name="_____tab33">#REF!</definedName>
    <definedName name="____col1">#REF!</definedName>
    <definedName name="____col2">#REF!</definedName>
    <definedName name="____col225">#REF!</definedName>
    <definedName name="____col255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8">#REF!</definedName>
    <definedName name="____tab2">#REF!</definedName>
    <definedName name="____tab33">#REF!</definedName>
    <definedName name="___col1">#REF!</definedName>
    <definedName name="___col2">#REF!</definedName>
    <definedName name="___col225">#REF!</definedName>
    <definedName name="___col255">#REF!</definedName>
    <definedName name="___col3">#REF!</definedName>
    <definedName name="___col4">#REF!</definedName>
    <definedName name="___col5">#REF!</definedName>
    <definedName name="___col6">#REF!</definedName>
    <definedName name="___col7">#REF!</definedName>
    <definedName name="___col8">#REF!</definedName>
    <definedName name="___tab2">#REF!</definedName>
    <definedName name="___tab33">#REF!</definedName>
    <definedName name="__col1">#REF!</definedName>
    <definedName name="__col2">#REF!</definedName>
    <definedName name="__col225">#REF!</definedName>
    <definedName name="__col255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8">#REF!</definedName>
    <definedName name="__tab2">#REF!</definedName>
    <definedName name="__tab33">#REF!</definedName>
    <definedName name="_col1">#REF!</definedName>
    <definedName name="_col2">#REF!</definedName>
    <definedName name="_col225">#REF!</definedName>
    <definedName name="_col25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tab2" localSheetId="6">#REF!</definedName>
    <definedName name="_tab2">#REF!</definedName>
    <definedName name="_tab33" localSheetId="6">#REF!</definedName>
    <definedName name="_tab33">#REF!</definedName>
    <definedName name="a" localSheetId="4">#REF!</definedName>
    <definedName name="a" localSheetId="7">#REF!</definedName>
    <definedName name="a" localSheetId="5">#REF!</definedName>
    <definedName name="a">#REF!</definedName>
    <definedName name="aa" localSheetId="7">'[1]Budoucí hodnota - zadání'!#REF!</definedName>
    <definedName name="aa" localSheetId="5">'[1]Budoucí hodnota - zadání'!#REF!</definedName>
    <definedName name="aa">'[1]Budoucí hodnota - zadání'!#REF!</definedName>
    <definedName name="aaa" localSheetId="7">#REF!</definedName>
    <definedName name="aaa" localSheetId="6">#REF!</definedName>
    <definedName name="aaa" localSheetId="5">#REF!</definedName>
    <definedName name="aaa">#REF!</definedName>
    <definedName name="aaaaaaa" localSheetId="20">#REF!</definedName>
    <definedName name="aaaaaaa">#REF!</definedName>
    <definedName name="ab" localSheetId="7">#REF!</definedName>
    <definedName name="ab" localSheetId="5">#REF!</definedName>
    <definedName name="ab">#REF!</definedName>
    <definedName name="bbb" localSheetId="7">#REF!</definedName>
    <definedName name="bbb" localSheetId="5">#REF!</definedName>
    <definedName name="bbb">#REF!</definedName>
    <definedName name="bbbb" localSheetId="20">'[1]Budoucí hodnota - zadání'!#REF!</definedName>
    <definedName name="bbbb" localSheetId="22">'[1]Budoucí hodnota - zadání'!#REF!</definedName>
    <definedName name="bbbb">'[1]Budoucí hodnota - zadání'!#REF!</definedName>
    <definedName name="bubina" localSheetId="5">#REF!</definedName>
    <definedName name="bubina">#REF!</definedName>
    <definedName name="BudgetTab" localSheetId="20">#REF!</definedName>
    <definedName name="BudgetTab" localSheetId="22">#REF!</definedName>
    <definedName name="BudgetTab" localSheetId="21">#REF!</definedName>
    <definedName name="BudgetTab" localSheetId="4">#REF!</definedName>
    <definedName name="BudgetTab" localSheetId="7">#REF!</definedName>
    <definedName name="BudgetTab" localSheetId="5">#REF!</definedName>
    <definedName name="BudgetTab">#REF!</definedName>
    <definedName name="ccc" localSheetId="7">#REF!</definedName>
    <definedName name="ccc" localSheetId="5">#REF!</definedName>
    <definedName name="ccc">#REF!</definedName>
    <definedName name="Celk_Zisk" localSheetId="7">'[2]Scénář'!$E$15</definedName>
    <definedName name="Celk_Zisk" localSheetId="5">'[2]Scénář'!$E$15</definedName>
    <definedName name="Celk_Zisk">'[2]Scénář'!$E$15</definedName>
    <definedName name="CelkZisk" localSheetId="20">#REF!</definedName>
    <definedName name="CelkZisk" localSheetId="22">#REF!</definedName>
    <definedName name="CelkZisk" localSheetId="21">#REF!</definedName>
    <definedName name="CelkZisk" localSheetId="7">#REF!</definedName>
    <definedName name="CelkZisk" localSheetId="6">#REF!</definedName>
    <definedName name="CelkZisk" localSheetId="5">#REF!</definedName>
    <definedName name="CelkZisk" localSheetId="13">#REF!</definedName>
    <definedName name="CelkZisk">#REF!</definedName>
    <definedName name="celkZisk1" localSheetId="20">#REF!</definedName>
    <definedName name="celkZisk1" localSheetId="22">#REF!</definedName>
    <definedName name="celkZisk1" localSheetId="21">#REF!</definedName>
    <definedName name="celkZisk1">#REF!</definedName>
    <definedName name="datumK" localSheetId="7">#REF!</definedName>
    <definedName name="datumK" localSheetId="5">#REF!</definedName>
    <definedName name="datumK" localSheetId="13">#REF!</definedName>
    <definedName name="datumK">#REF!</definedName>
    <definedName name="eeee" localSheetId="20">#REF!</definedName>
    <definedName name="eeee">#REF!</definedName>
    <definedName name="ehdxjxrf" localSheetId="7">#REF!</definedName>
    <definedName name="ehdxjxrf" localSheetId="5">#REF!</definedName>
    <definedName name="ehdxjxrf" localSheetId="13">#REF!</definedName>
    <definedName name="ehdxjxrf">#REF!</definedName>
    <definedName name="fffff" localSheetId="20">#REF!</definedName>
    <definedName name="fffff">#REF!</definedName>
    <definedName name="ffffffffffffffffffffffffff">#REF!</definedName>
    <definedName name="fghfgjjgf" localSheetId="20">#REF!</definedName>
    <definedName name="fghfgjjgf" localSheetId="22">#REF!</definedName>
    <definedName name="fghfgjjgf">#REF!</definedName>
    <definedName name="Format" localSheetId="20">#REF!</definedName>
    <definedName name="Format" localSheetId="22">#REF!</definedName>
    <definedName name="Format" localSheetId="21">#REF!</definedName>
    <definedName name="Format" localSheetId="4">#REF!</definedName>
    <definedName name="Format" localSheetId="7">#REF!</definedName>
    <definedName name="Format" localSheetId="5">#REF!</definedName>
    <definedName name="Format">#REF!</definedName>
    <definedName name="gfgfggfgf">'[3]Budoucí hodnota - zadání'!#REF!</definedName>
    <definedName name="gggggggggggg" localSheetId="20">'[3]Budoucí hodnota - zadání'!#REF!</definedName>
    <definedName name="gggggggggggg">'[3]Budoucí hodnota - zadání'!#REF!</definedName>
    <definedName name="hggfghdgjdgmdghncg">'[1]Budoucí hodnota - zadání'!#REF!</definedName>
    <definedName name="hhhh" localSheetId="20">#REF!</definedName>
    <definedName name="hhhh">#REF!</definedName>
    <definedName name="HrubyZisk" localSheetId="20">#REF!</definedName>
    <definedName name="HrubyZisk" localSheetId="22">#REF!</definedName>
    <definedName name="HrubyZisk" localSheetId="21">#REF!</definedName>
    <definedName name="HrubyZisk" localSheetId="7">#REF!</definedName>
    <definedName name="HrubyZisk" localSheetId="5">#REF!</definedName>
    <definedName name="HrubyZisk">#REF!</definedName>
    <definedName name="jún" localSheetId="20">'[1]Budoucí hodnota - zadání'!#REF!</definedName>
    <definedName name="jún" localSheetId="22">'[1]Budoucí hodnota - zadání'!#REF!</definedName>
    <definedName name="jún" localSheetId="21">'[1]Budoucí hodnota - zadání'!#REF!</definedName>
    <definedName name="jún">'[1]Budoucí hodnota - zadání'!#REF!</definedName>
    <definedName name="k" localSheetId="6">#REF!</definedName>
    <definedName name="k">#REF!</definedName>
    <definedName name="kdsjkfhakj" localSheetId="20">#REF!</definedName>
    <definedName name="kdsjkfhakj" localSheetId="22">#REF!</definedName>
    <definedName name="kdsjkfhakj" localSheetId="21">#REF!</definedName>
    <definedName name="kdsjkfhakj">#REF!</definedName>
    <definedName name="kjhjkcyxhjodj">'[3]Budoucí hodnota - zadání'!#REF!</definedName>
    <definedName name="kkkk" localSheetId="20">#REF!</definedName>
    <definedName name="kkkk" localSheetId="22">#REF!</definedName>
    <definedName name="kkkk">#REF!</definedName>
    <definedName name="kkkkkkkk" localSheetId="20">#REF!</definedName>
    <definedName name="kkkkkkkk">#REF!</definedName>
    <definedName name="kkkkkkkkkk" localSheetId="20">#REF!</definedName>
    <definedName name="kkkkkkkkkk">#REF!</definedName>
    <definedName name="kkkkkkkkkkkk" localSheetId="20">'[3]Budoucí hodnota - zadání'!#REF!</definedName>
    <definedName name="kkkkkkkkkkkk">'[3]Budoucí hodnota - zadání'!#REF!</definedName>
    <definedName name="mmm" localSheetId="20">#REF!</definedName>
    <definedName name="mmm" localSheetId="22">#REF!</definedName>
    <definedName name="mmm" localSheetId="6">#REF!</definedName>
    <definedName name="mmm">#REF!</definedName>
    <definedName name="mmmm" localSheetId="20">#REF!</definedName>
    <definedName name="mmmm" localSheetId="22">#REF!</definedName>
    <definedName name="mmmm" localSheetId="21">#REF!</definedName>
    <definedName name="mmmm">#REF!</definedName>
    <definedName name="_xlnm.Print_Titles" localSheetId="23">'Úprava RR'!$4:$7</definedName>
    <definedName name="NZbozi">'[4]Test1'!$B$89:$D$96</definedName>
    <definedName name="obraz" localSheetId="7">#REF!</definedName>
    <definedName name="obraz" localSheetId="6">#REF!</definedName>
    <definedName name="obraz" localSheetId="5">#REF!</definedName>
    <definedName name="obraz">#REF!</definedName>
    <definedName name="Opravy" localSheetId="20">#REF!</definedName>
    <definedName name="Opravy" localSheetId="22">#REF!</definedName>
    <definedName name="Opravy" localSheetId="21">#REF!</definedName>
    <definedName name="Opravy" localSheetId="7">#REF!</definedName>
    <definedName name="Opravy" localSheetId="5">#REF!</definedName>
    <definedName name="Opravy" localSheetId="13">#REF!</definedName>
    <definedName name="Opravy">#REF!</definedName>
    <definedName name="Ostatni" localSheetId="20">#REF!</definedName>
    <definedName name="Ostatni" localSheetId="22">#REF!</definedName>
    <definedName name="Ostatni" localSheetId="21">#REF!</definedName>
    <definedName name="Ostatni" localSheetId="7">#REF!</definedName>
    <definedName name="Ostatni" localSheetId="5">#REF!</definedName>
    <definedName name="Ostatni">#REF!</definedName>
    <definedName name="pl" localSheetId="20">#REF!</definedName>
    <definedName name="pl" localSheetId="22">#REF!</definedName>
    <definedName name="pl" localSheetId="21">#REF!</definedName>
    <definedName name="pl">#REF!</definedName>
    <definedName name="pobočky" localSheetId="5">#REF!</definedName>
    <definedName name="pobočky">#REF!</definedName>
    <definedName name="PocetNavstev" localSheetId="20">#REF!</definedName>
    <definedName name="PocetNavstev" localSheetId="22">#REF!</definedName>
    <definedName name="PocetNavstev" localSheetId="21">#REF!</definedName>
    <definedName name="PocetNavstev" localSheetId="7">#REF!</definedName>
    <definedName name="PocetNavstev" localSheetId="5">#REF!</definedName>
    <definedName name="PocetNavstev">#REF!</definedName>
    <definedName name="PrijemNaZakaz" localSheetId="20">#REF!</definedName>
    <definedName name="PrijemNaZakaz" localSheetId="22">#REF!</definedName>
    <definedName name="PrijemNaZakaz" localSheetId="21">#REF!</definedName>
    <definedName name="PrijemNaZakaz" localSheetId="7">#REF!</definedName>
    <definedName name="PrijemNaZakaz" localSheetId="5">#REF!</definedName>
    <definedName name="PrijemNaZakaz">#REF!</definedName>
    <definedName name="produkt" localSheetId="20">'[1]Budoucí hodnota - zadání'!#REF!</definedName>
    <definedName name="produkt" localSheetId="22">'[1]Budoucí hodnota - zadání'!#REF!</definedName>
    <definedName name="produkt" localSheetId="21">'[1]Budoucí hodnota - zadání'!#REF!</definedName>
    <definedName name="produkt" localSheetId="4">'[1]Budoucí hodnota - zadání'!#REF!</definedName>
    <definedName name="produkt" localSheetId="7">'[1]Budoucí hodnota - zadání'!#REF!</definedName>
    <definedName name="produkt" localSheetId="5">'[1]Budoucí hodnota - zadání'!#REF!</definedName>
    <definedName name="produkt">'[1]Budoucí hodnota - zadání'!#REF!</definedName>
    <definedName name="produkt22" localSheetId="20">'[3]Budoucí hodnota - zadání'!#REF!</definedName>
    <definedName name="produkt22" localSheetId="22">'[3]Budoucí hodnota - zadání'!#REF!</definedName>
    <definedName name="produkt22" localSheetId="21">'[3]Budoucí hodnota - zadání'!#REF!</definedName>
    <definedName name="produkt22">'[3]Budoucí hodnota - zadání'!#REF!</definedName>
    <definedName name="PRODUKT3" localSheetId="20">'[3]Budoucí hodnota - zadání'!#REF!</definedName>
    <definedName name="PRODUKT3" localSheetId="22">'[3]Budoucí hodnota - zadání'!#REF!</definedName>
    <definedName name="PRODUKT3" localSheetId="21">'[3]Budoucí hodnota - zadání'!#REF!</definedName>
    <definedName name="PRODUKT3">'[3]Budoucí hodnota - zadání'!#REF!</definedName>
    <definedName name="Reklama" localSheetId="20">#REF!</definedName>
    <definedName name="Reklama" localSheetId="22">#REF!</definedName>
    <definedName name="Reklama" localSheetId="21">#REF!</definedName>
    <definedName name="Reklama" localSheetId="7">#REF!</definedName>
    <definedName name="Reklama" localSheetId="6">#REF!</definedName>
    <definedName name="Reklama" localSheetId="5">#REF!</definedName>
    <definedName name="Reklama">#REF!</definedName>
    <definedName name="Revenue" localSheetId="20">#REF!</definedName>
    <definedName name="Revenue" localSheetId="22">#REF!</definedName>
    <definedName name="Revenue" localSheetId="21">#REF!</definedName>
    <definedName name="Revenue" localSheetId="7">#REF!</definedName>
    <definedName name="Revenue" localSheetId="5">#REF!</definedName>
    <definedName name="Revenue" localSheetId="13">#REF!</definedName>
    <definedName name="Revenue">#REF!</definedName>
    <definedName name="sssss" localSheetId="20">#REF!</definedName>
    <definedName name="sssss">#REF!</definedName>
    <definedName name="tab" localSheetId="5">#REF!</definedName>
    <definedName name="tab">#REF!</definedName>
    <definedName name="tab.2" localSheetId="5">#REF!</definedName>
    <definedName name="tab.2">#REF!</definedName>
    <definedName name="TableArea" localSheetId="4">#REF!</definedName>
    <definedName name="TableArea" localSheetId="7">#REF!</definedName>
    <definedName name="TableArea" localSheetId="5">#REF!</definedName>
    <definedName name="TableArea">#REF!</definedName>
    <definedName name="tabulky" localSheetId="7">#REF!</definedName>
    <definedName name="tabulky" localSheetId="5">#REF!</definedName>
    <definedName name="tabulky">#REF!</definedName>
    <definedName name="uuuuu" localSheetId="20">#REF!</definedName>
    <definedName name="uuuuu" localSheetId="22">#REF!</definedName>
    <definedName name="uuuuu">#REF!</definedName>
    <definedName name="VydajeNaZakaz" localSheetId="20">#REF!</definedName>
    <definedName name="VydajeNaZakaz" localSheetId="22">#REF!</definedName>
    <definedName name="VydajeNaZakaz" localSheetId="21">#REF!</definedName>
    <definedName name="VydajeNaZakaz" localSheetId="7">#REF!</definedName>
    <definedName name="VydajeNaZakaz" localSheetId="5">#REF!</definedName>
    <definedName name="VydajeNaZakaz">#REF!</definedName>
    <definedName name="Vyplaty" localSheetId="20">#REF!</definedName>
    <definedName name="Vyplaty" localSheetId="22">#REF!</definedName>
    <definedName name="Vyplaty" localSheetId="21">#REF!</definedName>
    <definedName name="Vyplaty" localSheetId="7">#REF!</definedName>
    <definedName name="Vyplaty" localSheetId="5">#REF!</definedName>
    <definedName name="Vyplaty">#REF!</definedName>
    <definedName name="x" localSheetId="20">#REF!</definedName>
    <definedName name="x" localSheetId="22">#REF!</definedName>
    <definedName name="x" localSheetId="21">#REF!</definedName>
    <definedName name="x">#REF!</definedName>
    <definedName name="Zarizeni" localSheetId="20">#REF!</definedName>
    <definedName name="Zarizeni" localSheetId="22">#REF!</definedName>
    <definedName name="Zarizeni" localSheetId="21">#REF!</definedName>
    <definedName name="Zarizeni" localSheetId="7">#REF!</definedName>
    <definedName name="Zarizeni" localSheetId="5">#REF!</definedName>
    <definedName name="Zarizeni">#REF!</definedName>
    <definedName name="Zásoby" localSheetId="20">#REF!</definedName>
    <definedName name="Zásoby" localSheetId="22">#REF!</definedName>
    <definedName name="Zásoby" localSheetId="21">#REF!</definedName>
    <definedName name="Zásoby" localSheetId="7">#REF!</definedName>
    <definedName name="Zásoby" localSheetId="5">#REF!</definedName>
    <definedName name="Zásoby">#REF!</definedName>
    <definedName name="Zbozi" localSheetId="7">'[5]Test1'!$B$89:$D$96</definedName>
    <definedName name="Zbozi" localSheetId="5">'[5]Test1'!$B$89:$D$96</definedName>
    <definedName name="Zbozi">'[5]Test1'!$B$89:$D$96</definedName>
    <definedName name="ZboziN">'[6]Test1'!$B$89:$D$96</definedName>
    <definedName name="zugskrheiogwe" localSheetId="7">#REF!</definedName>
    <definedName name="zugskrheiogwe" localSheetId="6">#REF!</definedName>
    <definedName name="zugskrheiogwe" localSheetId="5">#REF!</definedName>
    <definedName name="zugskrheiogwe">#REF!</definedName>
  </definedNames>
  <calcPr fullCalcOnLoad="1"/>
</workbook>
</file>

<file path=xl/sharedStrings.xml><?xml version="1.0" encoding="utf-8"?>
<sst xmlns="http://schemas.openxmlformats.org/spreadsheetml/2006/main" count="5292" uniqueCount="1144">
  <si>
    <t>a</t>
  </si>
  <si>
    <t>Ukazovateľ</t>
  </si>
  <si>
    <t>v tom:</t>
  </si>
  <si>
    <t>v tis. Eur</t>
  </si>
  <si>
    <t>Spolu</t>
  </si>
  <si>
    <t>Výdavky Sociálnej poisťovne</t>
  </si>
  <si>
    <t>Druh dávky</t>
  </si>
  <si>
    <t>Základný fond nemocenského poistenia</t>
  </si>
  <si>
    <t>nemocenské</t>
  </si>
  <si>
    <t>ošetrovné</t>
  </si>
  <si>
    <t>vyrovnávacia dávka</t>
  </si>
  <si>
    <t>materské</t>
  </si>
  <si>
    <t>Celkom výdavky ZFNP</t>
  </si>
  <si>
    <t>Základný fond starobného poistenia</t>
  </si>
  <si>
    <t>starobný dôchodok</t>
  </si>
  <si>
    <t>predčasný starobný dôchodok</t>
  </si>
  <si>
    <t>vdovský dôchodok</t>
  </si>
  <si>
    <t xml:space="preserve">vdovecký dôchodok </t>
  </si>
  <si>
    <t>sirotský dôchodok</t>
  </si>
  <si>
    <t xml:space="preserve">zúčtovanie dávok § 112, ods.9 </t>
  </si>
  <si>
    <t>Základný fond invalidného poistenia</t>
  </si>
  <si>
    <t>invalidný dôchodok</t>
  </si>
  <si>
    <t>vdovecký dôchodok</t>
  </si>
  <si>
    <t>Dôchodkové dávky celkom</t>
  </si>
  <si>
    <t>Celkom</t>
  </si>
  <si>
    <t>Základný fond úrazového poistenia</t>
  </si>
  <si>
    <t>úrazový príplatok</t>
  </si>
  <si>
    <t>úrazová renta</t>
  </si>
  <si>
    <t>jednorazové vyrovnanie</t>
  </si>
  <si>
    <t>pozostalostná úrazová renta</t>
  </si>
  <si>
    <t>jednorazové odškodnenie</t>
  </si>
  <si>
    <t>pracovná rehabilitácia a rehabilitačné</t>
  </si>
  <si>
    <t>rekvalifikácia a rekvalifikačné</t>
  </si>
  <si>
    <t>náhrada za bolesť a náhrada za sťaženie spoločenského uplatnenia</t>
  </si>
  <si>
    <t>náhrada nákladov spojených s liečením</t>
  </si>
  <si>
    <t>náhrada nákladov spojených s pohrebom</t>
  </si>
  <si>
    <t>výplata poistných plnení m.r.</t>
  </si>
  <si>
    <t>zúčtovanie  dávok § 112</t>
  </si>
  <si>
    <t>18% prevod do ZFSP za pob.úrazovej renty</t>
  </si>
  <si>
    <t>Základný fond garančného poistenia</t>
  </si>
  <si>
    <t>Výdavky na dávku garančného poistenia</t>
  </si>
  <si>
    <t>Úhrada príspevkov na SDS</t>
  </si>
  <si>
    <t xml:space="preserve">Celkom </t>
  </si>
  <si>
    <t>Základný fond poistenia v nezamestnanosti</t>
  </si>
  <si>
    <t>výdavky na dávku v nezamestnanosti</t>
  </si>
  <si>
    <t>zúčtovanie dávok § 112</t>
  </si>
  <si>
    <t>refundácia dávky v nezamestnanosti do EÚ</t>
  </si>
  <si>
    <t>VÝDAVKY CELKOM</t>
  </si>
  <si>
    <t>základný fond nemocenského poistenia</t>
  </si>
  <si>
    <t xml:space="preserve">základný fond starobného poistenia </t>
  </si>
  <si>
    <t xml:space="preserve">základný fond invalidného poistenia </t>
  </si>
  <si>
    <t xml:space="preserve">základný fond úrazového poistenia </t>
  </si>
  <si>
    <t xml:space="preserve">základný fond garančného poistenia </t>
  </si>
  <si>
    <t>základný fond  poistenia v nezamestnanosti</t>
  </si>
  <si>
    <t>správny fond</t>
  </si>
  <si>
    <t>v tom:  investičné výdavky</t>
  </si>
  <si>
    <t xml:space="preserve">           prevádzkové náklady</t>
  </si>
  <si>
    <t>Riadok číslo</t>
  </si>
  <si>
    <t>1.</t>
  </si>
  <si>
    <t>Spolu zamestnanec a zamestnávateľ</t>
  </si>
  <si>
    <t>2.</t>
  </si>
  <si>
    <t>Povinne  poistená SZČO</t>
  </si>
  <si>
    <t>3.</t>
  </si>
  <si>
    <t>Dobrovoľne  poistená osoba</t>
  </si>
  <si>
    <t>Dlžné poistné</t>
  </si>
  <si>
    <t>Príspevky na SDS zaplatené zamestnávateľom po uplynutí 60 dní</t>
  </si>
  <si>
    <t>Štát - poistné za zákonom určené skupiny</t>
  </si>
  <si>
    <t>Sociálna poisťovňa - poistné zo ZFÚP do ZFSP za poberateľov úrazovej renty (§ 88)</t>
  </si>
  <si>
    <t>Príjmy z príspevkov na SDS (EAO)</t>
  </si>
  <si>
    <t>Príjmy z príspevkov na SDS (štát)</t>
  </si>
  <si>
    <t>Príjmy cez pobočky spolu s SDS (r.č. 1 až 6 a 10)</t>
  </si>
  <si>
    <t xml:space="preserve">Január  </t>
  </si>
  <si>
    <t>Február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</si>
  <si>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</si>
  <si>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</si>
  <si>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</si>
  <si>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</si>
  <si>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</si>
  <si>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</si>
  <si>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</si>
  <si>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</si>
  <si>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</si>
  <si>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Príjmy z otvorenia II. piliera</t>
  </si>
  <si>
    <t xml:space="preserve">Pokuty a penále </t>
  </si>
  <si>
    <t>Schválený rozpočet na rok 2013</t>
  </si>
  <si>
    <t>Výdavky Sociálnej poisťovne rok 2013</t>
  </si>
  <si>
    <t>Príjmy spolu s príspevkami na SDS celkom ( bez prostriedkov zo ŠR)</t>
  </si>
  <si>
    <t>Príjmy z poistného a príspevkov na SDS (r.č. 1, 2, 3, 6, 7, 8, 10, 11, 12)</t>
  </si>
  <si>
    <t>Ostatné príjmy</t>
  </si>
  <si>
    <t>Marec</t>
  </si>
  <si>
    <t>Apríl</t>
  </si>
  <si>
    <t>Máj</t>
  </si>
  <si>
    <t>Jún</t>
  </si>
  <si>
    <t>dôchodkové poistenie spolu</t>
  </si>
  <si>
    <t>Júl</t>
  </si>
  <si>
    <t>August</t>
  </si>
  <si>
    <t>September</t>
  </si>
  <si>
    <t>Október</t>
  </si>
  <si>
    <t>November</t>
  </si>
  <si>
    <t>Ú č e t</t>
  </si>
  <si>
    <t>Číslo bežného účtu</t>
  </si>
  <si>
    <t xml:space="preserve">                                       Zostatok v tis. Eur</t>
  </si>
  <si>
    <t>v  Štátnej pokladnici</t>
  </si>
  <si>
    <t>Bežný účet</t>
  </si>
  <si>
    <t xml:space="preserve">z toho   Cash pooling </t>
  </si>
  <si>
    <t>Termínovaný vklad</t>
  </si>
  <si>
    <t xml:space="preserve">nemocenského poistenia   (ZFNP) </t>
  </si>
  <si>
    <t>7000165528/8180</t>
  </si>
  <si>
    <t>dôchodkového  poistenia    (účet  DP)</t>
  </si>
  <si>
    <t>7000164541/8180</t>
  </si>
  <si>
    <t>garančného poistenia   (ZFGP)</t>
  </si>
  <si>
    <t>7000165552/8180</t>
  </si>
  <si>
    <t>poistenia v nezamestnanosti  (ZFPvN)</t>
  </si>
  <si>
    <t>7000165544/8180</t>
  </si>
  <si>
    <t>úrazového poistenia  (ZFÚP)</t>
  </si>
  <si>
    <t>7000165536/8180</t>
  </si>
  <si>
    <t>,</t>
  </si>
  <si>
    <t>Spolu účty základných fondov v ústredí</t>
  </si>
  <si>
    <t>rezervného fondu  solidarity  ( RFS)</t>
  </si>
  <si>
    <t>7000164533/8180</t>
  </si>
  <si>
    <t>Spolu disponibilné zdroje v ústredí na výplatu dávok</t>
  </si>
  <si>
    <t>Ostatné účty spolu</t>
  </si>
  <si>
    <t>v pobočkách na výplatu dávok realizovaných pobočkami</t>
  </si>
  <si>
    <t>centrálny účet ústredia</t>
  </si>
  <si>
    <t>7000164322/8180</t>
  </si>
  <si>
    <t>osob.účet zákl.fondu prísp. na star.dôch.spor SocP</t>
  </si>
  <si>
    <t>7000181034/8180</t>
  </si>
  <si>
    <t>správny fond ústredie</t>
  </si>
  <si>
    <t>7000164314/8180</t>
  </si>
  <si>
    <t>správny fond v pobočkách</t>
  </si>
  <si>
    <t>účet zdaňovanej činnosti SP</t>
  </si>
  <si>
    <t>7000164509/8180</t>
  </si>
  <si>
    <t>sociálny fond SP-ústredie</t>
  </si>
  <si>
    <t>7000164525/8180</t>
  </si>
  <si>
    <t>sociálny fond SP-pobočkách</t>
  </si>
  <si>
    <t>účet osobitných prostr.SP</t>
  </si>
  <si>
    <t>7000164517/8180</t>
  </si>
  <si>
    <t>BÚ-ESF-SP</t>
  </si>
  <si>
    <t>7000293052/8180</t>
  </si>
  <si>
    <t xml:space="preserve">S p o l u   všetky účty </t>
  </si>
  <si>
    <t>v tom :</t>
  </si>
  <si>
    <t>v tis. Eur.</t>
  </si>
  <si>
    <t>z  RFS</t>
  </si>
  <si>
    <t>zo ZFIP</t>
  </si>
  <si>
    <t>zo ZFPvN</t>
  </si>
  <si>
    <t>do ZFSP</t>
  </si>
  <si>
    <t>1. štvrťrok</t>
  </si>
  <si>
    <t>2. štvrťrok</t>
  </si>
  <si>
    <t>3. štvrťrok</t>
  </si>
  <si>
    <t>4. štvrťrok</t>
  </si>
  <si>
    <t>s p o l u</t>
  </si>
  <si>
    <t>Poukázané  finančné  prostriedky zo ŠR</t>
  </si>
  <si>
    <t>December</t>
  </si>
  <si>
    <t>Január až  december  2013</t>
  </si>
  <si>
    <t>Skutočnosť rok 2012</t>
  </si>
  <si>
    <t>Skutočnosť rok 2013</t>
  </si>
  <si>
    <t>Rozdiel  3-1</t>
  </si>
  <si>
    <t>% plnenia  3/1</t>
  </si>
  <si>
    <t>Index  3/2</t>
  </si>
  <si>
    <t>Január až december    2013</t>
  </si>
  <si>
    <t>Prehľad o zostatkoch finančných prostriedkov na bežných účtoch  v Štátnej pokladnici  dňa 31.12.2013</t>
  </si>
  <si>
    <t>Presuny realizované na krytie výplat  dôchodkových dávok v roku 2013 vo výške 1 310 000 tis. Eur.</t>
  </si>
  <si>
    <t>zo ZFÚP</t>
  </si>
  <si>
    <t>zo ZFGP</t>
  </si>
  <si>
    <t>zo ZFNP</t>
  </si>
  <si>
    <t>Rok 2013</t>
  </si>
  <si>
    <t>Rozdiel  3-2</t>
  </si>
  <si>
    <t>Prehľad o príjmoch a výdavkoch Sociálnej poisťovne na dávky, ktoré hradí štát v roku 2013</t>
  </si>
  <si>
    <t>Kapitola štátneho rozpočtu MPSVR SR</t>
  </si>
  <si>
    <t>Rozdiel     2-1</t>
  </si>
  <si>
    <t>% plnenia 2/1</t>
  </si>
  <si>
    <t>1</t>
  </si>
  <si>
    <t>PRÍJMY</t>
  </si>
  <si>
    <t>VÝDAVKY</t>
  </si>
  <si>
    <t>a/ dôchodok manželky</t>
  </si>
  <si>
    <t>b/ sociálny dôchodok</t>
  </si>
  <si>
    <t>c/ zvýšenie dôchodku z dôvodu JZP</t>
  </si>
  <si>
    <t>d/ zvýšenie dôchodku pre bezvládnosť</t>
  </si>
  <si>
    <t>e/ zvýšenie dôchodku z dôvodu účasti v odboji a rehabilitácie */</t>
  </si>
  <si>
    <t>f/ dávky podľa § 271</t>
  </si>
  <si>
    <t>-</t>
  </si>
  <si>
    <t>g/ odškodnenie prac. úrazov a chorôb z povolania zamestnancov zrušených zamestnávateľov, ktorých  zakladateľom bol štát alebo FNM SR</t>
  </si>
  <si>
    <t>h/ plnenia vyplývajúce zo zodpovednoti zamestnávateľa za škodu pri pracovnom úraze a chorobe z povolania vzniknuté pred 1. aprílom 2002 u zamestnávateľa, ktorý mal podľa osobitného predpisu postavenie štátneho orgánu</t>
  </si>
  <si>
    <t>i/ úrazové dávky poskytované fyzickým osobám uvedeným v § 17 ods. 2 a 3 zákona o sociálnom poistení</t>
  </si>
  <si>
    <t>j/ príplatok k dôchodku za štátnu službu</t>
  </si>
  <si>
    <t>k/ plnenia podľa § 293o) ods. 6</t>
  </si>
  <si>
    <t>l/ vianočný príspevok a úhrada nákladov spojená s jeho výplatou</t>
  </si>
  <si>
    <t>m/ príplatok k dôchodku politickým väzňom podľa zákona č. 274/2007 Z.z.v znení neskorších predpisov **/</t>
  </si>
  <si>
    <t>jednorazový finančný príspevok politickým väzňom podľa zákona č. 462/2002 Z. z.</t>
  </si>
  <si>
    <t>invalidi z mladosti podľa §168a</t>
  </si>
  <si>
    <t>ROZDIEL PRÍJMOV A VÝDAVKOV</t>
  </si>
  <si>
    <t>.</t>
  </si>
  <si>
    <t>z toho vianočný príspevok                                                                        príjmy</t>
  </si>
  <si>
    <t>výdavky</t>
  </si>
  <si>
    <t>rozdiel príjmov a výdavkov</t>
  </si>
  <si>
    <t>z toho ostatné dávky, ktoré hradí štát                                                       príjmy</t>
  </si>
  <si>
    <t>Kapitola štátneho rozpočtu MO SR</t>
  </si>
  <si>
    <t>n/ príspevok účastníkom národného boja za oslobodenie a vdovám a vdovcom po týchto osobách podľa článku III. bod 2 zákona č. 285/2009 Z. z. a na úhradu výdavkov spojených s jeho výplatou</t>
  </si>
  <si>
    <t>Finančné prostriedky poukázané MO SR</t>
  </si>
  <si>
    <t>Rozdiel - príjmov a výdavkov (pohľadávka voči MO SR)</t>
  </si>
  <si>
    <t>Skutočnosť k 31. 12. 2013</t>
  </si>
  <si>
    <t xml:space="preserve">*/ v dávke zvýšenie dôchodku z titulu rehabilitácie sú zahrnuté aj finančné prostriedky, poskytované ako príplatok k dôchodku </t>
  </si>
  <si>
    <t xml:space="preserve">    podľa § 7 zákona č. 305/1999 Z.z. </t>
  </si>
  <si>
    <t xml:space="preserve">**/  v dávke príplatok k dôchodku politickým väzňom podľa zákona č. 274/2007 Z.z.v znení neskorších predpisov  je zahrnutý </t>
  </si>
  <si>
    <t xml:space="preserve">    príspevok aj pre osoby pozostalé po popravenom alebo zomretom politickom väzňovi počas výkonu trestu podľa </t>
  </si>
  <si>
    <t xml:space="preserve">    zákona č. 272/2008 Z.z., ktorým sa mení a dopĺňa zákon č. 274/2007 Z.z.</t>
  </si>
  <si>
    <t xml:space="preserve">Skutočnosť k 31. 12. 2013 </t>
  </si>
  <si>
    <t>Súhrnná bilancia - bez príspevkov na SDS (s vplyvom II. piliera)</t>
  </si>
  <si>
    <t>Schválený rozpočet na rok 2013 */</t>
  </si>
  <si>
    <t>Rozdiel 3-2</t>
  </si>
  <si>
    <t>% plnenia  3/2</t>
  </si>
  <si>
    <t>Základné údaje</t>
  </si>
  <si>
    <t>Príjmy v bežnom roku</t>
  </si>
  <si>
    <t>z toho prostriedky zo  Štátneho rozpočtu SR</t>
  </si>
  <si>
    <t>Použitie prostriedkov jednotlivých fondov</t>
  </si>
  <si>
    <t>Bilančný rozdiel v bežnom roku</t>
  </si>
  <si>
    <t xml:space="preserve">Prevod z minulých rokov </t>
  </si>
  <si>
    <t>Bilančný rozdiel celkom</t>
  </si>
  <si>
    <t>Zdroje</t>
  </si>
  <si>
    <t>Príjmy</t>
  </si>
  <si>
    <t>Poistné, v tom:</t>
  </si>
  <si>
    <t xml:space="preserve">nemocenské </t>
  </si>
  <si>
    <t xml:space="preserve">starobné </t>
  </si>
  <si>
    <t xml:space="preserve">invalidné </t>
  </si>
  <si>
    <t>úrazové</t>
  </si>
  <si>
    <t>garančné</t>
  </si>
  <si>
    <t>v nezamestnanosti</t>
  </si>
  <si>
    <t>rezervný fond solidarity</t>
  </si>
  <si>
    <t>Sankcie</t>
  </si>
  <si>
    <t>Príjmy z garančného poistenia po uplynutí 60 dní</t>
  </si>
  <si>
    <t>Transfery</t>
  </si>
  <si>
    <t>Výdavky</t>
  </si>
  <si>
    <t>Základné fondy, v tom:</t>
  </si>
  <si>
    <t>Správny fond</t>
  </si>
  <si>
    <t>Tvorba v bežnom roku</t>
  </si>
  <si>
    <t>Použitie</t>
  </si>
  <si>
    <t>*/ Údaje sú schválené uznesením NR SR  č. 396 z 19. decembra  2012</t>
  </si>
  <si>
    <t>Rozdiel 3-1</t>
  </si>
  <si>
    <t>Index 3/1</t>
  </si>
  <si>
    <t>Skutočnosť  rok 2012</t>
  </si>
  <si>
    <t xml:space="preserve">Skutočnosť  rok 2013 </t>
  </si>
  <si>
    <t>Príjmy Sociálnej poisťovne vrátane príspevkov na SDS rok 2013</t>
  </si>
  <si>
    <t>Mesačný vývoj použitia správneho fondu celkom za rok 2012 a 2013</t>
  </si>
  <si>
    <t>v Eur</t>
  </si>
  <si>
    <t>Eur</t>
  </si>
  <si>
    <t>Ukazovatele</t>
  </si>
  <si>
    <t>R O K      2   0  1  2</t>
  </si>
  <si>
    <t>Rozpočet</t>
  </si>
  <si>
    <t xml:space="preserve"> S K U T O Č N O S Ť</t>
  </si>
  <si>
    <t>Január</t>
  </si>
  <si>
    <t xml:space="preserve"> Správny fond celkom</t>
  </si>
  <si>
    <t>neúplné</t>
  </si>
  <si>
    <t>R O K      2   0  1  3</t>
  </si>
  <si>
    <t>Upravený</t>
  </si>
  <si>
    <t>rozpočet</t>
  </si>
  <si>
    <t>Vyhodnotenie plnenia rozpisu rozpočtu Správneho fondu Sociálnej poisťovne za rok  2013</t>
  </si>
  <si>
    <t>Org. útvary SP</t>
  </si>
  <si>
    <t>Spotr. nákupy</t>
  </si>
  <si>
    <t>Služby</t>
  </si>
  <si>
    <t>Osobné náklady</t>
  </si>
  <si>
    <t>Dane a poplatky</t>
  </si>
  <si>
    <t>Ostat. náklady</t>
  </si>
  <si>
    <t xml:space="preserve"> Bežné výdavky</t>
  </si>
  <si>
    <t>Kapit. výdavky</t>
  </si>
  <si>
    <t>SF SPOLU</t>
  </si>
  <si>
    <t xml:space="preserve">  Ústredie SP (132)</t>
  </si>
  <si>
    <t xml:space="preserve">  Rozpis rozpočtu 2013</t>
  </si>
  <si>
    <t xml:space="preserve">  Upravený RR 2013</t>
  </si>
  <si>
    <t xml:space="preserve">  Skutočnosť</t>
  </si>
  <si>
    <t xml:space="preserve">  % Plnenia z URR 2013</t>
  </si>
  <si>
    <t xml:space="preserve">  Pol. objekt Nevädzová (134)</t>
  </si>
  <si>
    <t xml:space="preserve">  DaRZ Staré Hory(136)</t>
  </si>
  <si>
    <t xml:space="preserve">  DaRZ Pav. Lehota(137)</t>
  </si>
  <si>
    <t xml:space="preserve">  Dozorná rada (133)</t>
  </si>
  <si>
    <t xml:space="preserve">  ÚSTREDIE SPOLU</t>
  </si>
  <si>
    <t xml:space="preserve">  POBOČKY SP (132)</t>
  </si>
  <si>
    <t xml:space="preserve"> SPRÁVNY FOND SPOLU</t>
  </si>
  <si>
    <t>Vyhodnotenie plnenia rozpisu rozpočtu bežných výdavkov (nákladov) správneho fondu Sociálnej poisťovne za rok 2013</t>
  </si>
  <si>
    <t>v štruktúre funkčnej a ekonomickej klasifikácie</t>
  </si>
  <si>
    <t xml:space="preserve">Funkčná </t>
  </si>
  <si>
    <t>Ekonomická klasifikácia</t>
  </si>
  <si>
    <t>Text</t>
  </si>
  <si>
    <t>Rozpis</t>
  </si>
  <si>
    <t>Rozpis rozpočtu</t>
  </si>
  <si>
    <t>Skutočnosť</t>
  </si>
  <si>
    <t>%</t>
  </si>
  <si>
    <t>klasifikácia</t>
  </si>
  <si>
    <t xml:space="preserve">Hlavná </t>
  </si>
  <si>
    <t>Kategória</t>
  </si>
  <si>
    <t>Položka</t>
  </si>
  <si>
    <t>Podpo-</t>
  </si>
  <si>
    <t>rozpočtu</t>
  </si>
  <si>
    <t>po úpravách</t>
  </si>
  <si>
    <t>za rok 2013</t>
  </si>
  <si>
    <t>plnenia</t>
  </si>
  <si>
    <t>oddiel/skupina/</t>
  </si>
  <si>
    <t>kategória</t>
  </si>
  <si>
    <t>ložka</t>
  </si>
  <si>
    <t>na rok 2013</t>
  </si>
  <si>
    <t>(3 : 2)</t>
  </si>
  <si>
    <t>trieda/podtrieda</t>
  </si>
  <si>
    <t>b</t>
  </si>
  <si>
    <t>c</t>
  </si>
  <si>
    <t>d</t>
  </si>
  <si>
    <t>e</t>
  </si>
  <si>
    <t>f</t>
  </si>
  <si>
    <t>10.9.0.3</t>
  </si>
  <si>
    <t>600</t>
  </si>
  <si>
    <t>610</t>
  </si>
  <si>
    <t xml:space="preserve"> Mzdy, platy, služobné príjmy a ostatné osobné vyrovnania</t>
  </si>
  <si>
    <t>611</t>
  </si>
  <si>
    <t xml:space="preserve"> Tarifný plat, osobný plat, základný plat vrátane ich náhrad</t>
  </si>
  <si>
    <t>612</t>
  </si>
  <si>
    <t xml:space="preserve"> Príplatky</t>
  </si>
  <si>
    <t>612002</t>
  </si>
  <si>
    <t xml:space="preserve"> Ostatné príplatky okrem osobných príplatkov</t>
  </si>
  <si>
    <t>613</t>
  </si>
  <si>
    <t xml:space="preserve"> Náhrada za pracovnú pohotovosť</t>
  </si>
  <si>
    <t>614</t>
  </si>
  <si>
    <t xml:space="preserve"> Odmeny</t>
  </si>
  <si>
    <t>615</t>
  </si>
  <si>
    <t xml:space="preserve"> Ostatné osobné vyrovnania</t>
  </si>
  <si>
    <t>616</t>
  </si>
  <si>
    <t xml:space="preserve"> Doplatok k platu a ďalší plat</t>
  </si>
  <si>
    <t>620</t>
  </si>
  <si>
    <t xml:space="preserve"> Poistné a príspevok do poisťovní </t>
  </si>
  <si>
    <t>621</t>
  </si>
  <si>
    <t xml:space="preserve"> Poistné do Všeobecnej zdravotnej poisťovne</t>
  </si>
  <si>
    <t>623</t>
  </si>
  <si>
    <t xml:space="preserve"> Poistné do ostatných zdravotných poisťovní</t>
  </si>
  <si>
    <t>625</t>
  </si>
  <si>
    <t xml:space="preserve"> Poistné do Sociálnej poisťovne</t>
  </si>
  <si>
    <t>625001</t>
  </si>
  <si>
    <t xml:space="preserve"> Na nemocenské poistenie</t>
  </si>
  <si>
    <t>625002</t>
  </si>
  <si>
    <t xml:space="preserve"> Na starobné poistenie</t>
  </si>
  <si>
    <t>625003</t>
  </si>
  <si>
    <t xml:space="preserve"> Na úrazové poistenie</t>
  </si>
  <si>
    <t>625004</t>
  </si>
  <si>
    <t xml:space="preserve"> Na invalidné poistenie</t>
  </si>
  <si>
    <t>625005</t>
  </si>
  <si>
    <t xml:space="preserve"> Na poistenie v nezamestnanosti</t>
  </si>
  <si>
    <t>625006</t>
  </si>
  <si>
    <t xml:space="preserve"> Na garančné poistenie</t>
  </si>
  <si>
    <t>625007</t>
  </si>
  <si>
    <t xml:space="preserve"> Na poistenie do rezervného fondu</t>
  </si>
  <si>
    <t>627</t>
  </si>
  <si>
    <t xml:space="preserve"> Príspevok do doplnkových dôchodkových poisťovní</t>
  </si>
  <si>
    <t>630</t>
  </si>
  <si>
    <t xml:space="preserve"> Tovary a služby</t>
  </si>
  <si>
    <t>631</t>
  </si>
  <si>
    <t xml:space="preserve"> Cestovné náhrady</t>
  </si>
  <si>
    <t xml:space="preserve">  Tuzemské pracovné cesty</t>
  </si>
  <si>
    <t xml:space="preserve">  Zahraničné pracovné cesty</t>
  </si>
  <si>
    <t xml:space="preserve">  Cestovné náhrady vlastným zamestnancom</t>
  </si>
  <si>
    <t>632</t>
  </si>
  <si>
    <t xml:space="preserve"> Energia, voda a komunikácie</t>
  </si>
  <si>
    <t xml:space="preserve"> Enegrie</t>
  </si>
  <si>
    <t xml:space="preserve"> Vodné, stočné </t>
  </si>
  <si>
    <t xml:space="preserve"> Poštovné služby a telekomunikačné služby</t>
  </si>
  <si>
    <t xml:space="preserve"> Komunikačná infraštruktúra</t>
  </si>
  <si>
    <t>633</t>
  </si>
  <si>
    <t xml:space="preserve"> Materiál</t>
  </si>
  <si>
    <t>633001</t>
  </si>
  <si>
    <t xml:space="preserve"> Interiérové vybavenie</t>
  </si>
  <si>
    <t>633002</t>
  </si>
  <si>
    <t xml:space="preserve"> Výpočtová technika</t>
  </si>
  <si>
    <t>633003</t>
  </si>
  <si>
    <t xml:space="preserve"> Telekomunikačná technika</t>
  </si>
  <si>
    <t>633004</t>
  </si>
  <si>
    <t xml:space="preserve"> Prevádzkové stroje, prístroje, zariadenia, technika a náradie</t>
  </si>
  <si>
    <t>633006</t>
  </si>
  <si>
    <t xml:space="preserve"> Všeobecný materiál</t>
  </si>
  <si>
    <t>633009</t>
  </si>
  <si>
    <t xml:space="preserve"> Knihy, časopisy, noviny, učebnice, učebné pomôcky </t>
  </si>
  <si>
    <t>633010</t>
  </si>
  <si>
    <t xml:space="preserve"> Pracovné odevy, obuv a pracovné pomôcky</t>
  </si>
  <si>
    <t>633013</t>
  </si>
  <si>
    <t xml:space="preserve"> Softvér </t>
  </si>
  <si>
    <t>633016</t>
  </si>
  <si>
    <t xml:space="preserve"> Reprezentačné</t>
  </si>
  <si>
    <t>634</t>
  </si>
  <si>
    <t xml:space="preserve"> Dopravné</t>
  </si>
  <si>
    <t xml:space="preserve"> Palivo, mazivá, oleje, špeciálne kvapaliny</t>
  </si>
  <si>
    <t xml:space="preserve"> Servis, údržba, opravy a výdavky s tým spojené</t>
  </si>
  <si>
    <t>634003</t>
  </si>
  <si>
    <t xml:space="preserve"> Poistenie</t>
  </si>
  <si>
    <t xml:space="preserve"> Prepravné a nájom dopravných prostriedkov</t>
  </si>
  <si>
    <t xml:space="preserve"> Karty, známky, poplatky</t>
  </si>
  <si>
    <t>635</t>
  </si>
  <si>
    <t xml:space="preserve"> Rutinná a štandartná údržba</t>
  </si>
  <si>
    <t xml:space="preserve">  Interiérového vybavenia</t>
  </si>
  <si>
    <t xml:space="preserve"> Výpočtovej techniky</t>
  </si>
  <si>
    <t xml:space="preserve"> Telekomunikačnej techniky</t>
  </si>
  <si>
    <t xml:space="preserve"> Prevádzkových strojov, prístrojov, zariadení, techniky a náradia</t>
  </si>
  <si>
    <t xml:space="preserve"> Budov, objekov alebo ich častí</t>
  </si>
  <si>
    <t>636</t>
  </si>
  <si>
    <t xml:space="preserve"> Nájomné za nájom</t>
  </si>
  <si>
    <t xml:space="preserve">  Nájomné budov, objektov alebo ich časti</t>
  </si>
  <si>
    <t xml:space="preserve">  Nájomné prevádzkových strojov, prístrojov, zariadení, techniky a náradia</t>
  </si>
  <si>
    <t xml:space="preserve">  Zmluvy o nájme veci s právom kúpy prenajatej veci</t>
  </si>
  <si>
    <t>637</t>
  </si>
  <si>
    <t xml:space="preserve"> Služby</t>
  </si>
  <si>
    <t>637001</t>
  </si>
  <si>
    <t xml:space="preserve"> Školenia, kurzy, semináre, porady, konferencie, sympóziá</t>
  </si>
  <si>
    <t>637003</t>
  </si>
  <si>
    <t xml:space="preserve"> Propagácia, reklama a inzercia</t>
  </si>
  <si>
    <t>637004</t>
  </si>
  <si>
    <t xml:space="preserve"> Všeobecné služby</t>
  </si>
  <si>
    <t>637005</t>
  </si>
  <si>
    <t xml:space="preserve"> Špeciálne služby</t>
  </si>
  <si>
    <t>637007</t>
  </si>
  <si>
    <t>637009</t>
  </si>
  <si>
    <t xml:space="preserve"> Náhrada mzdy a platu</t>
  </si>
  <si>
    <t>637011</t>
  </si>
  <si>
    <t xml:space="preserve"> Štúdie, expertízy, posudky</t>
  </si>
  <si>
    <t>637012</t>
  </si>
  <si>
    <t xml:space="preserve"> Poplatky a odvody</t>
  </si>
  <si>
    <t>637014</t>
  </si>
  <si>
    <t xml:space="preserve"> Stravovanie</t>
  </si>
  <si>
    <t>637015</t>
  </si>
  <si>
    <t xml:space="preserve"> Poistné</t>
  </si>
  <si>
    <t>637016</t>
  </si>
  <si>
    <t xml:space="preserve"> Prídel do sociálneho fondu</t>
  </si>
  <si>
    <t>637024</t>
  </si>
  <si>
    <t xml:space="preserve"> Vyrovnanie kurzových rozdielov</t>
  </si>
  <si>
    <t>637026</t>
  </si>
  <si>
    <t xml:space="preserve"> Odmeny a príspevky</t>
  </si>
  <si>
    <t>637027</t>
  </si>
  <si>
    <t xml:space="preserve"> Odmeny zamestnancov mimopracovného pomeru</t>
  </si>
  <si>
    <t>10.9.0.4</t>
  </si>
  <si>
    <t>637029</t>
  </si>
  <si>
    <t xml:space="preserve"> Manká a škody</t>
  </si>
  <si>
    <t xml:space="preserve">637031 </t>
  </si>
  <si>
    <t xml:space="preserve"> Pokuty a penále</t>
  </si>
  <si>
    <t>637034</t>
  </si>
  <si>
    <t xml:space="preserve"> Zdravotníckym zariadeniam</t>
  </si>
  <si>
    <t>637035</t>
  </si>
  <si>
    <t xml:space="preserve"> Dane</t>
  </si>
  <si>
    <t>640</t>
  </si>
  <si>
    <t xml:space="preserve"> Bežné transfery</t>
  </si>
  <si>
    <t>642</t>
  </si>
  <si>
    <t xml:space="preserve"> Transfery jednotlivocm a neziskovým právnickým osobám</t>
  </si>
  <si>
    <t>642012</t>
  </si>
  <si>
    <t xml:space="preserve"> Na odstupné</t>
  </si>
  <si>
    <t>642013</t>
  </si>
  <si>
    <t xml:space="preserve"> Na odchodné</t>
  </si>
  <si>
    <t>642014</t>
  </si>
  <si>
    <t xml:space="preserve"> Jednotlivcovi</t>
  </si>
  <si>
    <t>642015</t>
  </si>
  <si>
    <t xml:space="preserve"> Na nemocenské dávky</t>
  </si>
  <si>
    <t>642036</t>
  </si>
  <si>
    <t xml:space="preserve"> Na štipendiá</t>
  </si>
  <si>
    <t>649</t>
  </si>
  <si>
    <t xml:space="preserve"> Transfery do zahraničia</t>
  </si>
  <si>
    <t>649003</t>
  </si>
  <si>
    <t xml:space="preserve"> Medzinárodnej organizácii</t>
  </si>
  <si>
    <t>Vyhodnotenie plnenia rozpisu rozpočtu kapitálových výdavkov (nákladov) správneho fondu Sociálnej poisťovne za rok 2013</t>
  </si>
  <si>
    <t>700</t>
  </si>
  <si>
    <t xml:space="preserve"> Kapitálové výdavky</t>
  </si>
  <si>
    <t>710</t>
  </si>
  <si>
    <t xml:space="preserve"> Obstarávanie kapitálových aktív</t>
  </si>
  <si>
    <t xml:space="preserve"> 711</t>
  </si>
  <si>
    <t xml:space="preserve"> Nákup pozemkov a nehmotných aktív</t>
  </si>
  <si>
    <t>711001</t>
  </si>
  <si>
    <t xml:space="preserve"> Pozemkov</t>
  </si>
  <si>
    <t xml:space="preserve"> 711003</t>
  </si>
  <si>
    <t xml:space="preserve"> Softvéru</t>
  </si>
  <si>
    <t xml:space="preserve"> 711004</t>
  </si>
  <si>
    <t xml:space="preserve"> Licencií</t>
  </si>
  <si>
    <t>712</t>
  </si>
  <si>
    <t xml:space="preserve"> Nákup budov, objektov alebo ich častí</t>
  </si>
  <si>
    <t>712001</t>
  </si>
  <si>
    <t xml:space="preserve"> 713</t>
  </si>
  <si>
    <t xml:space="preserve"> Nákup strojov, prístrojov, zariadení, techniky a náradia</t>
  </si>
  <si>
    <t xml:space="preserve"> 713001</t>
  </si>
  <si>
    <t xml:space="preserve"> Interiérového vybavenia</t>
  </si>
  <si>
    <t xml:space="preserve"> 713002</t>
  </si>
  <si>
    <t xml:space="preserve"> 713003</t>
  </si>
  <si>
    <t xml:space="preserve"> 713004</t>
  </si>
  <si>
    <t xml:space="preserve"> 713005</t>
  </si>
  <si>
    <t xml:space="preserve"> Špeciálnych strojov, prístrojov, zariadení, techniky, náradia a materiálu</t>
  </si>
  <si>
    <t xml:space="preserve"> 714</t>
  </si>
  <si>
    <t xml:space="preserve"> Nákup dopravných prostriedkov všetkých druhov</t>
  </si>
  <si>
    <t>714001</t>
  </si>
  <si>
    <t xml:space="preserve"> Osobných automobilov</t>
  </si>
  <si>
    <t xml:space="preserve"> 716</t>
  </si>
  <si>
    <t xml:space="preserve"> Prípravná a projektová dokumentácia</t>
  </si>
  <si>
    <t xml:space="preserve"> 717</t>
  </si>
  <si>
    <t xml:space="preserve"> Realizácia stavieb a ich technické zhodnotenie</t>
  </si>
  <si>
    <t>717001</t>
  </si>
  <si>
    <t xml:space="preserve"> Realizácia nových stavieb</t>
  </si>
  <si>
    <t>717002</t>
  </si>
  <si>
    <t xml:space="preserve"> Rekonštrukcia a modernizácia</t>
  </si>
  <si>
    <t>717003</t>
  </si>
  <si>
    <t xml:space="preserve"> Prístavby, nadstavby, stavebné úpravy</t>
  </si>
  <si>
    <t>Vyhodnotenie plnenia rozpisu rozpočtu bežných výdavkov (nákladov) správneho fondu Sociálnej poisťovne, ústredie za rok 2013</t>
  </si>
  <si>
    <t>Evidencia úpravy rozpisu rozpočtu v Sociálnej poisťovni ústredie</t>
  </si>
  <si>
    <t>za rok  2013</t>
  </si>
  <si>
    <t>Poradové</t>
  </si>
  <si>
    <t>Dátum</t>
  </si>
  <si>
    <t>Fond</t>
  </si>
  <si>
    <t>Protokolárne</t>
  </si>
  <si>
    <t xml:space="preserve">Druh </t>
  </si>
  <si>
    <t>Druh rozpočtu</t>
  </si>
  <si>
    <t>Finančné</t>
  </si>
  <si>
    <t>Finanč.položka</t>
  </si>
  <si>
    <t>Program</t>
  </si>
  <si>
    <t>Suma</t>
  </si>
  <si>
    <t>číslo</t>
  </si>
  <si>
    <t>operácie</t>
  </si>
  <si>
    <t>stredisko</t>
  </si>
  <si>
    <t>BA--0062312/2013</t>
  </si>
  <si>
    <t>Odoslanie</t>
  </si>
  <si>
    <t>Rozpočtové opatrenie</t>
  </si>
  <si>
    <t>637005.51819000</t>
  </si>
  <si>
    <t>ZZZ</t>
  </si>
  <si>
    <t>Prijatie</t>
  </si>
  <si>
    <t>SF Ústredie</t>
  </si>
  <si>
    <t>637012.54930000</t>
  </si>
  <si>
    <t>637029.54810000</t>
  </si>
  <si>
    <t>BA--0064989/2013</t>
  </si>
  <si>
    <t xml:space="preserve"> 050</t>
  </si>
  <si>
    <t>632003.51410000</t>
  </si>
  <si>
    <t>642013.52750000</t>
  </si>
  <si>
    <t>642013.52820000</t>
  </si>
  <si>
    <t>BA--0067575/2013</t>
  </si>
  <si>
    <t>634002.51120000</t>
  </si>
  <si>
    <t>634005.53830000</t>
  </si>
  <si>
    <t>BA--0072669/2013</t>
  </si>
  <si>
    <t>632001.50210000</t>
  </si>
  <si>
    <t>637004.51811000</t>
  </si>
  <si>
    <t>633010.50148000</t>
  </si>
  <si>
    <t>4.</t>
  </si>
  <si>
    <t>BA--0079362/2013</t>
  </si>
  <si>
    <t>634002.50122000</t>
  </si>
  <si>
    <t>5.</t>
  </si>
  <si>
    <t>124</t>
  </si>
  <si>
    <t>134</t>
  </si>
  <si>
    <t>BA--0094596/2013</t>
  </si>
  <si>
    <t>35</t>
  </si>
  <si>
    <t>132</t>
  </si>
  <si>
    <t>632001.50220000</t>
  </si>
  <si>
    <t>637011.51814000</t>
  </si>
  <si>
    <t>6.</t>
  </si>
  <si>
    <t>152</t>
  </si>
  <si>
    <t>BA--0311261/2013</t>
  </si>
  <si>
    <t>713001.04241200</t>
  </si>
  <si>
    <t>P1325</t>
  </si>
  <si>
    <t>P1326</t>
  </si>
  <si>
    <t>P1115</t>
  </si>
  <si>
    <t>713004.04221230</t>
  </si>
  <si>
    <t>P1303</t>
  </si>
  <si>
    <t>716000.04251200</t>
  </si>
  <si>
    <t>P1306</t>
  </si>
  <si>
    <t>P1307</t>
  </si>
  <si>
    <t>P1310</t>
  </si>
  <si>
    <t>717002.04211220</t>
  </si>
  <si>
    <t>P1313</t>
  </si>
  <si>
    <t>P1108</t>
  </si>
  <si>
    <t>717003.04211230</t>
  </si>
  <si>
    <t>P1312</t>
  </si>
  <si>
    <t>P1323</t>
  </si>
  <si>
    <t>P1321</t>
  </si>
  <si>
    <t>P1322</t>
  </si>
  <si>
    <t>P1331</t>
  </si>
  <si>
    <t>P1328</t>
  </si>
  <si>
    <t>P1329</t>
  </si>
  <si>
    <t>P1330</t>
  </si>
  <si>
    <t>P1024</t>
  </si>
  <si>
    <t>P1314</t>
  </si>
  <si>
    <t>P1332</t>
  </si>
  <si>
    <t>P1333</t>
  </si>
  <si>
    <t>P1334</t>
  </si>
  <si>
    <t>P1316</t>
  </si>
  <si>
    <t>P1335</t>
  </si>
  <si>
    <t>P1336</t>
  </si>
  <si>
    <t>P1214</t>
  </si>
  <si>
    <t>P1337</t>
  </si>
  <si>
    <t>P1338</t>
  </si>
  <si>
    <t>P1327</t>
  </si>
  <si>
    <t>7.</t>
  </si>
  <si>
    <t>163</t>
  </si>
  <si>
    <t>BA--0107265/2013</t>
  </si>
  <si>
    <t>633006.50111000</t>
  </si>
  <si>
    <t>634004.51829000</t>
  </si>
  <si>
    <t>8.</t>
  </si>
  <si>
    <t>198</t>
  </si>
  <si>
    <t>BA--0109985/2013</t>
  </si>
  <si>
    <t>390</t>
  </si>
  <si>
    <t>625001.52441000</t>
  </si>
  <si>
    <t>625002.52442000</t>
  </si>
  <si>
    <t>625003.52443000</t>
  </si>
  <si>
    <t>625004.52444000</t>
  </si>
  <si>
    <t>625005.52445000</t>
  </si>
  <si>
    <t>625006.52446000</t>
  </si>
  <si>
    <t>625007.52447000</t>
  </si>
  <si>
    <t>621000.52411000</t>
  </si>
  <si>
    <t>642012.52740000</t>
  </si>
  <si>
    <t>642012.52810000</t>
  </si>
  <si>
    <t>370</t>
  </si>
  <si>
    <t>340</t>
  </si>
  <si>
    <t>623000.52431000</t>
  </si>
  <si>
    <t>635002.51130000</t>
  </si>
  <si>
    <t>320</t>
  </si>
  <si>
    <t>31</t>
  </si>
  <si>
    <t>627000.52511000</t>
  </si>
  <si>
    <t>632003.51910000</t>
  </si>
  <si>
    <t>300</t>
  </si>
  <si>
    <t>270</t>
  </si>
  <si>
    <t>200</t>
  </si>
  <si>
    <t>160</t>
  </si>
  <si>
    <t>130</t>
  </si>
  <si>
    <t>110</t>
  </si>
  <si>
    <t>100</t>
  </si>
  <si>
    <t>090</t>
  </si>
  <si>
    <t>050</t>
  </si>
  <si>
    <t>020</t>
  </si>
  <si>
    <t>9.</t>
  </si>
  <si>
    <t>BA--0121057/2013</t>
  </si>
  <si>
    <t>637005.51831000</t>
  </si>
  <si>
    <t>637012.53820000</t>
  </si>
  <si>
    <t>10.</t>
  </si>
  <si>
    <t>BA--0125733/2013</t>
  </si>
  <si>
    <t>633010.52730000</t>
  </si>
  <si>
    <t>11.</t>
  </si>
  <si>
    <t>BA--0122562/2013</t>
  </si>
  <si>
    <t>633001.50143000</t>
  </si>
  <si>
    <t>12.</t>
  </si>
  <si>
    <t>BA--0122566/2013</t>
  </si>
  <si>
    <t>611000.52110000</t>
  </si>
  <si>
    <t>040</t>
  </si>
  <si>
    <t>060</t>
  </si>
  <si>
    <t>070</t>
  </si>
  <si>
    <t>13.</t>
  </si>
  <si>
    <t>BA--0126480/2013</t>
  </si>
  <si>
    <t>P1324</t>
  </si>
  <si>
    <t>P1012</t>
  </si>
  <si>
    <t>P1309</t>
  </si>
  <si>
    <t>P1103</t>
  </si>
  <si>
    <t>711003.04121200</t>
  </si>
  <si>
    <t>I1303</t>
  </si>
  <si>
    <t>713002.04221210</t>
  </si>
  <si>
    <t>I1301</t>
  </si>
  <si>
    <t>I1302</t>
  </si>
  <si>
    <t>713003.04221220</t>
  </si>
  <si>
    <t>P1304</t>
  </si>
  <si>
    <t>P1315</t>
  </si>
  <si>
    <t>P1222</t>
  </si>
  <si>
    <t>P1109</t>
  </si>
  <si>
    <t>635002.51822000</t>
  </si>
  <si>
    <t>14.</t>
  </si>
  <si>
    <t>262</t>
  </si>
  <si>
    <t>BA--0140285/2013</t>
  </si>
  <si>
    <t>637034.54940000</t>
  </si>
  <si>
    <t>635006.51110000</t>
  </si>
  <si>
    <t>633001.50142100</t>
  </si>
  <si>
    <t>310</t>
  </si>
  <si>
    <t>15.</t>
  </si>
  <si>
    <t>269</t>
  </si>
  <si>
    <t>136</t>
  </si>
  <si>
    <t>BA--0143132/2013</t>
  </si>
  <si>
    <t>637004.51812000</t>
  </si>
  <si>
    <t>635004.51150000</t>
  </si>
  <si>
    <t>16.</t>
  </si>
  <si>
    <t>304</t>
  </si>
  <si>
    <t>BA--0148592/2013</t>
  </si>
  <si>
    <t>380</t>
  </si>
  <si>
    <t>360</t>
  </si>
  <si>
    <t>220</t>
  </si>
  <si>
    <t>180</t>
  </si>
  <si>
    <t>17.</t>
  </si>
  <si>
    <t>334</t>
  </si>
  <si>
    <t>BA--0156454/2013</t>
  </si>
  <si>
    <t>Dodatok</t>
  </si>
  <si>
    <t>43</t>
  </si>
  <si>
    <t>632004.51818000</t>
  </si>
  <si>
    <t>633006.50111200</t>
  </si>
  <si>
    <t>633013.51841000</t>
  </si>
  <si>
    <t>635004.51151000</t>
  </si>
  <si>
    <t>137</t>
  </si>
  <si>
    <t>632002.50310000</t>
  </si>
  <si>
    <t>635001.51160000</t>
  </si>
  <si>
    <t>632002.51850000</t>
  </si>
  <si>
    <t>P1339</t>
  </si>
  <si>
    <t>633006.50113000</t>
  </si>
  <si>
    <t>633006.50114000</t>
  </si>
  <si>
    <t>634001.50132000</t>
  </si>
  <si>
    <t>634003.51520000</t>
  </si>
  <si>
    <t>636001.51610000</t>
  </si>
  <si>
    <t>632003.51920000</t>
  </si>
  <si>
    <t>632003.51940000</t>
  </si>
  <si>
    <t>637004.51823000</t>
  </si>
  <si>
    <t>637012.54910000</t>
  </si>
  <si>
    <t>637016.52710000</t>
  </si>
  <si>
    <t>18.</t>
  </si>
  <si>
    <t>637012.53810000</t>
  </si>
  <si>
    <t>280</t>
  </si>
  <si>
    <t>260</t>
  </si>
  <si>
    <t>230</t>
  </si>
  <si>
    <t>633006.50112000</t>
  </si>
  <si>
    <t>637005.51813000</t>
  </si>
  <si>
    <t>642015.52770000</t>
  </si>
  <si>
    <t>632003.51930000</t>
  </si>
  <si>
    <t>637012.54911000</t>
  </si>
  <si>
    <t>080</t>
  </si>
  <si>
    <t>631001.51210000</t>
  </si>
  <si>
    <t>637014.52720000</t>
  </si>
  <si>
    <t>19.</t>
  </si>
  <si>
    <t>401</t>
  </si>
  <si>
    <t>BA--0175175/2013</t>
  </si>
  <si>
    <t>714001.04231200</t>
  </si>
  <si>
    <t>P1301</t>
  </si>
  <si>
    <t>713005.04221240</t>
  </si>
  <si>
    <t>P1302</t>
  </si>
  <si>
    <t>P1219</t>
  </si>
  <si>
    <t>P1340</t>
  </si>
  <si>
    <t>P1341</t>
  </si>
  <si>
    <t>P1120</t>
  </si>
  <si>
    <t>P1205</t>
  </si>
  <si>
    <t>P1342</t>
  </si>
  <si>
    <t>P1343</t>
  </si>
  <si>
    <t>P1317</t>
  </si>
  <si>
    <t>P1318</t>
  </si>
  <si>
    <t>P1112</t>
  </si>
  <si>
    <t>634001.50131000</t>
  </si>
  <si>
    <t>20.</t>
  </si>
  <si>
    <t>402</t>
  </si>
  <si>
    <t>BA--0176079/2013</t>
  </si>
  <si>
    <t>632001.50230000</t>
  </si>
  <si>
    <t>140</t>
  </si>
  <si>
    <t>633006.50121000</t>
  </si>
  <si>
    <t>21.</t>
  </si>
  <si>
    <t>408</t>
  </si>
  <si>
    <t>BA--0175189/2013</t>
  </si>
  <si>
    <t>637007.51240000</t>
  </si>
  <si>
    <t>637004.51828000</t>
  </si>
  <si>
    <t>637031.54230000</t>
  </si>
  <si>
    <t>637024.54510000</t>
  </si>
  <si>
    <t>22.</t>
  </si>
  <si>
    <t>411</t>
  </si>
  <si>
    <t>BA--0177700/2013</t>
  </si>
  <si>
    <t>170</t>
  </si>
  <si>
    <t>23.</t>
  </si>
  <si>
    <t>BA–0185721/2013</t>
  </si>
  <si>
    <t>635004.51141000</t>
  </si>
  <si>
    <t>zzz</t>
  </si>
  <si>
    <t>634003.51510000</t>
  </si>
  <si>
    <t>24.</t>
  </si>
  <si>
    <t>443</t>
  </si>
  <si>
    <t>BA--0184158/2013</t>
  </si>
  <si>
    <t>637031.54210000</t>
  </si>
  <si>
    <t>330</t>
  </si>
  <si>
    <t>290</t>
  </si>
  <si>
    <t>250</t>
  </si>
  <si>
    <t>240</t>
  </si>
  <si>
    <t>190</t>
  </si>
  <si>
    <t>150</t>
  </si>
  <si>
    <t>120</t>
  </si>
  <si>
    <t>25.</t>
  </si>
  <si>
    <t>445</t>
  </si>
  <si>
    <t>BA--0187271/2013</t>
  </si>
  <si>
    <t>26.</t>
  </si>
  <si>
    <t>483</t>
  </si>
  <si>
    <t>BA--0191107/2013</t>
  </si>
  <si>
    <t>27.</t>
  </si>
  <si>
    <t>501</t>
  </si>
  <si>
    <t>BA--0189968/2013</t>
  </si>
  <si>
    <t>28.</t>
  </si>
  <si>
    <t>502</t>
  </si>
  <si>
    <t>BA--0189962/2013</t>
  </si>
  <si>
    <t>29.</t>
  </si>
  <si>
    <t>511</t>
  </si>
  <si>
    <t>BA--0199702/2013</t>
  </si>
  <si>
    <t>632003.51450000</t>
  </si>
  <si>
    <t>633002.50123000</t>
  </si>
  <si>
    <t>633002.50142200</t>
  </si>
  <si>
    <t>30.</t>
  </si>
  <si>
    <t>523</t>
  </si>
  <si>
    <t>BA--0199697/2013</t>
  </si>
  <si>
    <t>31.</t>
  </si>
  <si>
    <t>572</t>
  </si>
  <si>
    <t>BA--0202040/2013</t>
  </si>
  <si>
    <t>32.</t>
  </si>
  <si>
    <t>573</t>
  </si>
  <si>
    <t>BA--0202017/2013</t>
  </si>
  <si>
    <t>P1220</t>
  </si>
  <si>
    <t>P1344</t>
  </si>
  <si>
    <t>P1011</t>
  </si>
  <si>
    <t>P1311</t>
  </si>
  <si>
    <t>P1319</t>
  </si>
  <si>
    <t>P1320</t>
  </si>
  <si>
    <t>P1345</t>
  </si>
  <si>
    <t>33.</t>
  </si>
  <si>
    <t>BA--0206943/2013</t>
  </si>
  <si>
    <t>633010.50147000</t>
  </si>
  <si>
    <t>635004.51140000</t>
  </si>
  <si>
    <t>636002.51620000</t>
  </si>
  <si>
    <t>34.</t>
  </si>
  <si>
    <t>BA--0213975/2013</t>
  </si>
  <si>
    <t>35.</t>
  </si>
  <si>
    <t>BA--0211374/2013</t>
  </si>
  <si>
    <t>36.</t>
  </si>
  <si>
    <t>BA--0208109/2013</t>
  </si>
  <si>
    <t>637026.52310000</t>
  </si>
  <si>
    <t>631002.51220000</t>
  </si>
  <si>
    <t>637001.51825000</t>
  </si>
  <si>
    <t>637027.54920000</t>
  </si>
  <si>
    <t>637031.54220000</t>
  </si>
  <si>
    <t>37.</t>
  </si>
  <si>
    <t>BA--0218047/2013</t>
  </si>
  <si>
    <t>38.</t>
  </si>
  <si>
    <t>BA--0218060/2013</t>
  </si>
  <si>
    <t>39.</t>
  </si>
  <si>
    <t>BA--0218327/2013</t>
  </si>
  <si>
    <t>P1308</t>
  </si>
  <si>
    <t>40.</t>
  </si>
  <si>
    <t>BA--0220016/2013</t>
  </si>
  <si>
    <t>41.</t>
  </si>
  <si>
    <t>BA--0222281/2013</t>
  </si>
  <si>
    <t>633004.50142400</t>
  </si>
  <si>
    <t>42.</t>
  </si>
  <si>
    <t>BA--0222292/2013</t>
  </si>
  <si>
    <t>43.</t>
  </si>
  <si>
    <t>BA--0220959/2013</t>
  </si>
  <si>
    <t>44.</t>
  </si>
  <si>
    <t>BA--0222293/2013</t>
  </si>
  <si>
    <t>45.</t>
  </si>
  <si>
    <t>BA-220959-1/2013</t>
  </si>
  <si>
    <t>633003.50142300</t>
  </si>
  <si>
    <t>635003.51152000</t>
  </si>
  <si>
    <t>46.</t>
  </si>
  <si>
    <t>BA--1954191/2013</t>
  </si>
  <si>
    <t>614000.52140000</t>
  </si>
  <si>
    <t>47.</t>
  </si>
  <si>
    <t>BA--0216489/2013</t>
  </si>
  <si>
    <t>621000.52413000</t>
  </si>
  <si>
    <t>623000.52433000</t>
  </si>
  <si>
    <t>625004.52444200</t>
  </si>
  <si>
    <t>625001.52441200</t>
  </si>
  <si>
    <t>625002.52442200</t>
  </si>
  <si>
    <t>625003.52443200</t>
  </si>
  <si>
    <t>625006.52446200</t>
  </si>
  <si>
    <t>625007.52447200</t>
  </si>
  <si>
    <t>613000.52130000</t>
  </si>
  <si>
    <t>612002.52120000</t>
  </si>
  <si>
    <t>48.</t>
  </si>
  <si>
    <t>BA-0222292-1/2013</t>
  </si>
  <si>
    <t>49.</t>
  </si>
  <si>
    <t>BA-0222292-2/2013</t>
  </si>
  <si>
    <t>50.</t>
  </si>
  <si>
    <t>BA-222281-1/2013</t>
  </si>
  <si>
    <t>51.</t>
  </si>
  <si>
    <t>Vývoj pohľadávok Sociálnej poisťovne podľa druhov a podľa fondov mesačne v roku 2013</t>
  </si>
  <si>
    <t>Stav ku dňu</t>
  </si>
  <si>
    <t>Pohľadávky na poistnom a príspevkoch na SDS celkom                          ( účet 316 )</t>
  </si>
  <si>
    <t xml:space="preserve">Druhy pohľadávok v tis. EUR </t>
  </si>
  <si>
    <t>z toho</t>
  </si>
  <si>
    <t>Druhy pohľadávok na základe rozhodnutia</t>
  </si>
  <si>
    <t>pohľadávky na základe výkazu, prihlášky (účty 31611 a 316911)</t>
  </si>
  <si>
    <t>pohľadávky na základe rozhodnutia</t>
  </si>
  <si>
    <t>poistné</t>
  </si>
  <si>
    <t>penále</t>
  </si>
  <si>
    <t>Ostatné *</t>
  </si>
  <si>
    <t>31. decembru 2012</t>
  </si>
  <si>
    <t>31. januáru 2013</t>
  </si>
  <si>
    <t>28. februáru 2013</t>
  </si>
  <si>
    <t>31. marcu 2013</t>
  </si>
  <si>
    <t>30. aprílu 2013</t>
  </si>
  <si>
    <t>31. máju 2013</t>
  </si>
  <si>
    <t>30. júnu 2013</t>
  </si>
  <si>
    <t>31. júlu 2013</t>
  </si>
  <si>
    <t>31. augustu 2013</t>
  </si>
  <si>
    <t>30. septembru 2013</t>
  </si>
  <si>
    <t>31. októbru 2013</t>
  </si>
  <si>
    <t>30. novembru 2013</t>
  </si>
  <si>
    <t>31. decembru 2013</t>
  </si>
  <si>
    <t>*ostatné (pokuty,poplatky,regresy,preplatky na dávkach...)</t>
  </si>
  <si>
    <t>Vývoj pohľadávok SP podľa fondov (v tis.EUR)</t>
  </si>
  <si>
    <t xml:space="preserve">Pohľadávky SP podľa fondov stav </t>
  </si>
  <si>
    <t>Základné fondy spolu</t>
  </si>
  <si>
    <t xml:space="preserve">ZF nemoc. poistenia </t>
  </si>
  <si>
    <t xml:space="preserve">ZF starob. poistenia </t>
  </si>
  <si>
    <t xml:space="preserve">ZF invalid. poistenia </t>
  </si>
  <si>
    <t>ZF úrazového poist.</t>
  </si>
  <si>
    <t>ZF garanč. poistenia</t>
  </si>
  <si>
    <t>ZF poist.v nezamest.</t>
  </si>
  <si>
    <t xml:space="preserve">Rezerv.fond solidarity </t>
  </si>
  <si>
    <t xml:space="preserve">Zúčtov.poist. r. 1993 </t>
  </si>
  <si>
    <t xml:space="preserve">Zúčtov.poist. r. 1994 </t>
  </si>
  <si>
    <t>k 31. decembru 2012</t>
  </si>
  <si>
    <t>k 31.januáru 2013</t>
  </si>
  <si>
    <t>k 28. februáru 2013</t>
  </si>
  <si>
    <t>k 31. marcu 2013</t>
  </si>
  <si>
    <t>k 30. aprílu 2013</t>
  </si>
  <si>
    <t>k 31. máju 2013</t>
  </si>
  <si>
    <t>k 30. júnu 2013</t>
  </si>
  <si>
    <t>k 31. júlu 2013</t>
  </si>
  <si>
    <t>k 31. augustu 2013</t>
  </si>
  <si>
    <t>k 30. septembru 2013</t>
  </si>
  <si>
    <t>k 31. októbru 2013</t>
  </si>
  <si>
    <t>k 30. novembru 2013</t>
  </si>
  <si>
    <t>k 31. decembru 2013</t>
  </si>
  <si>
    <t>Pobočka</t>
  </si>
  <si>
    <t>Pohľadávky celkom ( účet 316 ) v tis. Eur</t>
  </si>
  <si>
    <t>stav k 31_12_2012</t>
  </si>
  <si>
    <t>stav k 31_12_2013</t>
  </si>
  <si>
    <t>nárast (+); pokles (-)</t>
  </si>
  <si>
    <t>zníženie (-), nárast (+) pohľadávok oproti stavu k 31_12_2012 o...%</t>
  </si>
  <si>
    <t>Liptovský Mikuláš</t>
  </si>
  <si>
    <t>Banská Bystrica</t>
  </si>
  <si>
    <t>Prievidza</t>
  </si>
  <si>
    <t>Veľký Krtíš</t>
  </si>
  <si>
    <t>Bratislava</t>
  </si>
  <si>
    <t>Trnava</t>
  </si>
  <si>
    <t>Považská Bystrica</t>
  </si>
  <si>
    <t>Dunajská Streda</t>
  </si>
  <si>
    <t>Levice</t>
  </si>
  <si>
    <t>Čadca</t>
  </si>
  <si>
    <t>Košice</t>
  </si>
  <si>
    <t>Nitra</t>
  </si>
  <si>
    <t>Stará Ľubovňa</t>
  </si>
  <si>
    <t>Dolný Kubín</t>
  </si>
  <si>
    <t>Poprad</t>
  </si>
  <si>
    <t>Senica</t>
  </si>
  <si>
    <t>Galanta</t>
  </si>
  <si>
    <t>Žilina</t>
  </si>
  <si>
    <t>Trenčín</t>
  </si>
  <si>
    <t>Zvolen</t>
  </si>
  <si>
    <t>Humenné</t>
  </si>
  <si>
    <t>Prešov</t>
  </si>
  <si>
    <t>Komárno</t>
  </si>
  <si>
    <t>Svidník</t>
  </si>
  <si>
    <t>Trebišov</t>
  </si>
  <si>
    <t>Michalovce</t>
  </si>
  <si>
    <t>Nové Zámky</t>
  </si>
  <si>
    <t>Lučenec</t>
  </si>
  <si>
    <t>Žiar nad Hronom</t>
  </si>
  <si>
    <t>Rožňava</t>
  </si>
  <si>
    <t>Spišská Nová Ves</t>
  </si>
  <si>
    <t>Bardejov</t>
  </si>
  <si>
    <t>Martin</t>
  </si>
  <si>
    <t>Rimavská Sobota</t>
  </si>
  <si>
    <t>Topoľčany</t>
  </si>
  <si>
    <t>Vranov nad Topľou</t>
  </si>
  <si>
    <t>SP pobočky</t>
  </si>
  <si>
    <t xml:space="preserve">Ústredie </t>
  </si>
  <si>
    <t>SP spolu</t>
  </si>
  <si>
    <t>Prehľad pohľadávok Sociálnej poisťovne podľa spôsobov vymáhania v tis. EUR</t>
  </si>
  <si>
    <t>pohľadávky spolu k 31.12.2013</t>
  </si>
  <si>
    <t>Podiel</t>
  </si>
  <si>
    <t>Konkurzy</t>
  </si>
  <si>
    <t>Vyrovnanie reštrukturalizácia</t>
  </si>
  <si>
    <t>Likvidácia</t>
  </si>
  <si>
    <t xml:space="preserve">Dedičské konanie  </t>
  </si>
  <si>
    <t>Exekúcie</t>
  </si>
  <si>
    <t>Povolené splátky  dlžných súm</t>
  </si>
  <si>
    <t xml:space="preserve">Mandátna správa  </t>
  </si>
  <si>
    <t>Iné spôsoby vymáhania</t>
  </si>
  <si>
    <t>Okrem vymáhaných pohľadávok eviduje Sociálna poisťovňa</t>
  </si>
  <si>
    <t>V celkových pohľadávkach:</t>
  </si>
  <si>
    <t>Pohľadávky voči zdravotníckym zariadeniam - nevymáhané (poistné+penále)</t>
  </si>
  <si>
    <t>Pohľadávky po ukončení vymáhania</t>
  </si>
  <si>
    <t>Pohľadávky pred začatím vymáhania</t>
  </si>
  <si>
    <t xml:space="preserve">pohľadávky na poistnom na základe výkazu, prihlášky evidované v účtovníctve (aj pred lehotou splatnosti) </t>
  </si>
  <si>
    <t>pohľadávky na poistnom v nezamestnanosti evidovaných voči krajinám EÚ</t>
  </si>
  <si>
    <t>Opravné položky k pohľadávkam Sociálnej poisťovne k 31.12.2013</t>
  </si>
  <si>
    <t>stav k 1.1.2013</t>
  </si>
  <si>
    <t>stav k 31.12.2013</t>
  </si>
  <si>
    <t>rozdiel 12_13 a 1_13</t>
  </si>
  <si>
    <t xml:space="preserve">Košice </t>
  </si>
  <si>
    <t>Liptovský  Mikuláš</t>
  </si>
  <si>
    <t>Vranov n.T.</t>
  </si>
  <si>
    <t>počet rozhodnutí</t>
  </si>
  <si>
    <t>výška vymáhanej pohľadávky v exekučnom konaní v tis. Eur</t>
  </si>
  <si>
    <t>úhrady v tis. Eur</t>
  </si>
  <si>
    <t>k 31.1.2013</t>
  </si>
  <si>
    <t>k 28.2.2013</t>
  </si>
  <si>
    <t>k 31.3.2013</t>
  </si>
  <si>
    <t>k 30.4.2013</t>
  </si>
  <si>
    <t>k 31.5.2013</t>
  </si>
  <si>
    <t>k 30.6.2013</t>
  </si>
  <si>
    <t>k 31.7.2013</t>
  </si>
  <si>
    <t>k 31.8.2013</t>
  </si>
  <si>
    <t>k 30.9.2013</t>
  </si>
  <si>
    <t>k 31.10.2013</t>
  </si>
  <si>
    <t>k 30.11.2013</t>
  </si>
  <si>
    <t>k 31.12.2013</t>
  </si>
  <si>
    <t>Vydané rozhodnutia o povolení splátok dlžných súm v roku 2013</t>
  </si>
  <si>
    <t>stav k</t>
  </si>
  <si>
    <t>počet povolených splátkových kalendárov</t>
  </si>
  <si>
    <t>suma  na ktorú boli vydané rozhodnutia o povolení splátok dlžných súm (tis. Eur)</t>
  </si>
  <si>
    <t>Celková vymožená suma    (tis. Eur)</t>
  </si>
  <si>
    <t xml:space="preserve">Prehľad pohľadávok vymáhaných prostredníctvom mandátnej správy spoločnosťou General Factoring a. s. </t>
  </si>
  <si>
    <t>sumárny prehľad prevedených pohľadávok do mandátnej správy a  akceptovaných úhrad od 01. 01. 2013 do 31.12. 2013</t>
  </si>
  <si>
    <t>spolu prevedené     (suma tis. EUR)</t>
  </si>
  <si>
    <t>spolu akceptované  (suma tis. EUR)</t>
  </si>
  <si>
    <t>sumárny prehľad rok 2013</t>
  </si>
  <si>
    <t>prevedené pohľadávky do MS v roku 2013 a akceptované úhrady ku konkrétnym sumárnym zoznamom v roku 2013</t>
  </si>
  <si>
    <t>sumárny zoznam č.</t>
  </si>
  <si>
    <t>spolu</t>
  </si>
  <si>
    <t>012013</t>
  </si>
  <si>
    <t>022013</t>
  </si>
  <si>
    <t>032013</t>
  </si>
  <si>
    <t>042013</t>
  </si>
  <si>
    <t>052013</t>
  </si>
  <si>
    <t>062013</t>
  </si>
  <si>
    <t>072013</t>
  </si>
  <si>
    <t>082013</t>
  </si>
  <si>
    <t>092013</t>
  </si>
  <si>
    <t>102013</t>
  </si>
  <si>
    <t>112013</t>
  </si>
  <si>
    <t>prevedené</t>
  </si>
  <si>
    <t>počet</t>
  </si>
  <si>
    <t>suma tis. EUR</t>
  </si>
  <si>
    <t>akceptované</t>
  </si>
  <si>
    <t>prehľad rok 2013 po sumárnych zoznamoch</t>
  </si>
  <si>
    <t>Stav pohľadávok  podľa pobočiek Sociálnej poisťovne a zdravotníckych zariadení k 31. decembru 2013 (v tis. EUR)</t>
  </si>
  <si>
    <t>Typ zdravotníckeho zariadenia</t>
  </si>
  <si>
    <t>Forma zdravotníckeho zariadenia (S/V)</t>
  </si>
  <si>
    <t>Názov zdravotníckeho zariadenia, sídlo</t>
  </si>
  <si>
    <t>IČO</t>
  </si>
  <si>
    <t>Pohľadávka na                     poistnom                                k 30. novembru 2013</t>
  </si>
  <si>
    <t>Pohľadávka na                     poistnom                                k 31. decembru 2013</t>
  </si>
  <si>
    <t>Rozdiel pohľadávky na                              poistnom                        12_ 2013 - 11_2013</t>
  </si>
  <si>
    <t>S</t>
  </si>
  <si>
    <t>Fakultná nemocnica s poliklinikou F. D. Roosevelta Banská Bystrica</t>
  </si>
  <si>
    <t>00165549</t>
  </si>
  <si>
    <t>Univerzitná nemocnica Bratislava</t>
  </si>
  <si>
    <t>Detská fakultná nemocnica s poliklinikou Bratislava</t>
  </si>
  <si>
    <t>00607231</t>
  </si>
  <si>
    <t>Národná transfúzna služba SR, Bratislava</t>
  </si>
  <si>
    <t>Psychiatrická nemocnica Hronovce</t>
  </si>
  <si>
    <t>00607266</t>
  </si>
  <si>
    <t>Fakultná nemocnica Trnava</t>
  </si>
  <si>
    <t>00610381</t>
  </si>
  <si>
    <t>V</t>
  </si>
  <si>
    <t>Špecializovaná nemocnica pre ortopedickú protetiku Bratislava, n.o.</t>
  </si>
  <si>
    <t>Kysucká nemocnica s poliklinikou Čadca</t>
  </si>
  <si>
    <t>Dolnooravská nemocnica s poliklinikou MUDr. L. N. Jégého Dolný Kubín</t>
  </si>
  <si>
    <t>00634905</t>
  </si>
  <si>
    <t>Nemocnica s poliklinikou Dunajská Streda</t>
  </si>
  <si>
    <t>Nemocnica s poliklinikou Dunajská Streda, a.s.</t>
  </si>
  <si>
    <t>Nemocnica s poliklinikou Sv. Lukáša Galanta</t>
  </si>
  <si>
    <t>00610291</t>
  </si>
  <si>
    <t>Liptovská nemocnica s poliklinikou MUDr. Ivana Stodolu Liptovský Mikuláš</t>
  </si>
  <si>
    <t>Mestská nemocnica Prof. MUDr. Rudolfa Korca, DrSc. Zlaté Moravce</t>
  </si>
  <si>
    <t>Sanatórium Tatranská Kotlina n.o.</t>
  </si>
  <si>
    <t>Nemocnica s poliklinikou v Považskej Bystrici</t>
  </si>
  <si>
    <t>00610411</t>
  </si>
  <si>
    <t>Nemocnica s poliklinikou Ilava, n.o.</t>
  </si>
  <si>
    <t>36119385</t>
  </si>
  <si>
    <t>Nemocnica s poliklinikou Prievidza so sídlom v Bojniciach</t>
  </si>
  <si>
    <t>Revúcka medicínsko-humanitná, n.o., Revúca</t>
  </si>
  <si>
    <t>Nemocnica s poliklinikou Myjava</t>
  </si>
  <si>
    <t>00610721</t>
  </si>
  <si>
    <t>Nemocnica s poliklinikou Skalica</t>
  </si>
  <si>
    <t>00610712</t>
  </si>
  <si>
    <t>Nemocnica A. Wintera n.o. Piešťany</t>
  </si>
  <si>
    <t>Všeobecná nemocnica s poliklinikou, n.o., Veľký Krtíš</t>
  </si>
  <si>
    <t>Legenda: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</si>
  <si>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</si>
  <si>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</si>
  <si>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</si>
  <si>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</si>
  <si>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</si>
  <si>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</si>
  <si>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</si>
  <si>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</si>
  <si>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</si>
  <si>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</si>
  <si>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</si>
  <si>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</si>
  <si>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</si>
  <si>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ZZ v pôsobnosti MZ SR</t>
  </si>
  <si>
    <t xml:space="preserve">ZZ prechádzajúce na VÚC, obce a mestá, neziskové organizácie </t>
  </si>
  <si>
    <t xml:space="preserve">Stav pohľadávok (v tis. EUR) podľa pobočiek Sociálnej poisťovne a zdravotníckych zariadení k 31. decembru 2013 </t>
  </si>
  <si>
    <t>Typ ZZ</t>
  </si>
  <si>
    <t>Forma ZZ (S/V)</t>
  </si>
  <si>
    <t>Platenie bežného poistného</t>
  </si>
  <si>
    <t>Pohľadávka na poistnom k 31.12.2013</t>
  </si>
  <si>
    <t>Spôsob zabezpečenia pohľadávky</t>
  </si>
  <si>
    <t>Dátum zriadenia záložného práva</t>
  </si>
  <si>
    <t>Suma na ktorú bolo záložné právo zriadené</t>
  </si>
  <si>
    <t>vyhodnotenie generálneho pardonu 2008</t>
  </si>
  <si>
    <t>zaplatené poistné v súvislosti s uznesením vlády SR č. 698/2012</t>
  </si>
  <si>
    <t>novopredpí- sané penále</t>
  </si>
  <si>
    <t>celkom odpustené penále v rámci GP</t>
  </si>
  <si>
    <t>dátum posúdenia splnenia podmienky pre GP</t>
  </si>
  <si>
    <t>zaplatené dlžné poistné v súvislosti GP</t>
  </si>
  <si>
    <t>C</t>
  </si>
  <si>
    <t>Nemocnica s poliklinikou Sv. Jakuba, n.o., Bardejov</t>
  </si>
  <si>
    <t>A</t>
  </si>
  <si>
    <t>Oravská poliklinika Námestovo</t>
  </si>
  <si>
    <t>00634875</t>
  </si>
  <si>
    <t>Nemocnica s poliklinikou A. Leňa Humenné</t>
  </si>
  <si>
    <t>00610658</t>
  </si>
  <si>
    <t>X</t>
  </si>
  <si>
    <t>Mestská poliklinika Hurbanovo</t>
  </si>
  <si>
    <t>17335647</t>
  </si>
  <si>
    <t>Univerzitná nemocnica L. Pasteura, Košice</t>
  </si>
  <si>
    <t>00606707</t>
  </si>
  <si>
    <t>Záchranná služba Košice</t>
  </si>
  <si>
    <t>00606731</t>
  </si>
  <si>
    <t>Nemocnica s poliklinikou Želiezovce</t>
  </si>
  <si>
    <t>00610283</t>
  </si>
  <si>
    <t>Mesto Šahy (prevzaté od NsP Šahy, IČO: 00610275)</t>
  </si>
  <si>
    <t>00307513</t>
  </si>
  <si>
    <t>Nemocnica s poliklinikou Štefana Kukuru v Michalovciach, n.o.</t>
  </si>
  <si>
    <t>Psychiatrická nemocnica Michalovce, n.o.</t>
  </si>
  <si>
    <t>Fakultná nemocnica Nitra</t>
  </si>
  <si>
    <t>Mestská poliklinika Šurany</t>
  </si>
  <si>
    <t>Poliklinika Štúrovo</t>
  </si>
  <si>
    <t>N</t>
  </si>
  <si>
    <t>zmluvné záložné právo</t>
  </si>
  <si>
    <t>Nemocnica s poliklinikou Rimavská Sobota</t>
  </si>
  <si>
    <t>00610615</t>
  </si>
  <si>
    <t>Nemocnica s poliklinikou Hnúšťa</t>
  </si>
  <si>
    <t>00610631</t>
  </si>
  <si>
    <t xml:space="preserve">Nemocnica s poliklinikou sv. Barbory Rožňava, a. s.                                                                                                                                                                                         </t>
  </si>
  <si>
    <t>Psychiatrická liečebňa Samuela Bluma Plešivec</t>
  </si>
  <si>
    <t>Poliklinika Tornaľa</t>
  </si>
  <si>
    <t>00610640</t>
  </si>
  <si>
    <t xml:space="preserve">Odborný liečebný ústav psychiatrický, n.o. Predná Hora </t>
  </si>
  <si>
    <t>37954920</t>
  </si>
  <si>
    <t>Nemocnica s poliklinikou, Spišská Nová Ves</t>
  </si>
  <si>
    <t>00610534</t>
  </si>
  <si>
    <t>Ľubovnianska nemocnica, n.o., Stará Ľubovňa</t>
  </si>
  <si>
    <t>Nemocnica s poliklinikou Trebišov</t>
  </si>
  <si>
    <t>Nemocnica s poliklinikou Trebišov a.s.</t>
  </si>
  <si>
    <t>Fakultná nemocnica Trenčín</t>
  </si>
  <si>
    <t>00610470</t>
  </si>
  <si>
    <t>Vranovská nemocnica, n.o., Vranov nad Topľou</t>
  </si>
  <si>
    <t>Regionálna nemocnica Banská Štiavnica, n.o.</t>
  </si>
  <si>
    <t>Detská ozdravovňa, Kremnické Bane</t>
  </si>
  <si>
    <t>Názov, sídlo</t>
  </si>
  <si>
    <t>Správa záväzkov a pohľadávok, Nitra (prevzaté od Nemocnice s poliklinikou Levice, IČO: 00610267)</t>
  </si>
  <si>
    <t>Správa záväzkov a pohľadávok, Košice (prevzaté od Nemocnice s poliklinikou Š.Kukuru Michalovce, IČO:17335663)</t>
  </si>
  <si>
    <t>Správa záväzkov a pohľadávok, Košice (prevzaté od Nemocnicu s poliklinikou svätej Barbory, Rožňava, IČO: 17335922)</t>
  </si>
  <si>
    <t>- platí</t>
  </si>
  <si>
    <t>- čiastočne (za zamestnancov)</t>
  </si>
  <si>
    <t>- neplatí</t>
  </si>
  <si>
    <t>- ukončená registrácia</t>
  </si>
  <si>
    <t>Exekúcie podané v roku 2013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</si>
</sst>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_-* #,##0\ _S_k_-;\-* #,##0\ _S_k_-;_-* &quot;-&quot;\ _S_k_-;_-@_-"/>
    <numFmt numFmtId="165" formatCode="_-* #,##0.00\ &quot;Sk&quot;_-;\-* #,##0.00\ &quot;Sk&quot;_-;_-* &quot;-&quot;??\ &quot;Sk&quot;_-;_-@_-"/>
    <numFmt numFmtId="166" formatCode="_-* #,##0.00\ _S_k_-;\-* #,##0.00\ _S_k_-;_-* &quot;-&quot;??\ _S_k_-;_-@_-"/>
    <numFmt numFmtId="167" formatCode="&quot;$&quot;#,##0;[Red]\-&quot;$&quot;#,##0"/>
    <numFmt numFmtId="168" formatCode="m\o\n\th\ d\,\ \y\y\y\y"/>
    <numFmt numFmtId="169" formatCode=";;"/>
    <numFmt numFmtId="170" formatCode="_-* #,##0.00\ [$€-1]_-;\-* #,##0.00\ [$€-1]_-;_-* &quot;-&quot;??\ [$€-1]_-"/>
    <numFmt numFmtId="171" formatCode="_(* #,##0.00_);_(* \(#,##0.00\);_(* &quot;-&quot;??_);_(@_)"/>
    <numFmt numFmtId="172" formatCode="#,##0\ _S_k"/>
    <numFmt numFmtId="173" formatCode="#,##0.00_ ;\-#,##0.00\ "/>
    <numFmt numFmtId="174" formatCode="#,##0;#,##0;&quot; &quot;"/>
    <numFmt numFmtId="175" formatCode="#,##0;\-#,##0;&quot; &quot;"/>
    <numFmt numFmtId="176" formatCode="#,##0_ ;\-#,##0\ "/>
    <numFmt numFmtId="177" formatCode="#,##0.00;#,##0.00;&quot; &quot;"/>
    <numFmt numFmtId="178" formatCode="_-* #,##0\ _S_k_-;\-* #,##0\ _S_k_-;_-* &quot;-&quot;??\ _S_k_-;_-@_-"/>
    <numFmt numFmtId="179" formatCode="#,##0.0000"/>
    <numFmt numFmtId="180" formatCode="#,##0.00000"/>
    <numFmt numFmtId="181" formatCode="#,##0.00_ ;[Red]\-#,##0.00\ "/>
    <numFmt numFmtId="182" formatCode="0.0%"/>
  </numFmts>
  <fonts count="10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sz val="8"/>
      <name val="Arial CE"/>
      <family val="2"/>
    </font>
    <font>
      <sz val="1"/>
      <color indexed="8"/>
      <name val="Courier"/>
      <family val="3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 CE"/>
      <family val="2"/>
    </font>
    <font>
      <sz val="11"/>
      <color indexed="60"/>
      <name val="Calibri"/>
      <family val="2"/>
    </font>
    <font>
      <sz val="12"/>
      <name val="Arial CE"/>
      <family val="0"/>
    </font>
    <font>
      <sz val="11"/>
      <color indexed="52"/>
      <name val="Calibri"/>
      <family val="2"/>
    </font>
    <font>
      <sz val="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i/>
      <u val="single"/>
      <sz val="24"/>
      <name val="Times New Roman CE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9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b/>
      <sz val="14"/>
      <color indexed="53"/>
      <name val="Arial"/>
      <family val="2"/>
    </font>
    <font>
      <b/>
      <sz val="12"/>
      <name val="Arial"/>
      <family val="2"/>
    </font>
    <font>
      <sz val="10"/>
      <name val="Courier"/>
      <family val="1"/>
    </font>
    <font>
      <b/>
      <sz val="10"/>
      <name val="Arial"/>
      <family val="2"/>
    </font>
    <font>
      <b/>
      <sz val="18"/>
      <name val="Arial CE"/>
      <family val="0"/>
    </font>
    <font>
      <sz val="14"/>
      <name val="Arial CE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10"/>
      <name val="Arial CE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28"/>
      <color indexed="8"/>
      <name val="Arial"/>
      <family val="0"/>
    </font>
    <font>
      <b/>
      <sz val="16"/>
      <color indexed="48"/>
      <name val="Arial"/>
      <family val="0"/>
    </font>
    <font>
      <b/>
      <sz val="16"/>
      <color indexed="10"/>
      <name val="Arial"/>
      <family val="0"/>
    </font>
    <font>
      <b/>
      <sz val="16"/>
      <color indexed="53"/>
      <name val="Arial"/>
      <family val="0"/>
    </font>
    <font>
      <b/>
      <sz val="16"/>
      <color indexed="19"/>
      <name val="Arial"/>
      <family val="0"/>
    </font>
    <font>
      <sz val="11.75"/>
      <color indexed="8"/>
      <name val="Arial"/>
      <family val="0"/>
    </font>
    <font>
      <sz val="14"/>
      <color indexed="8"/>
      <name val="Arial"/>
      <family val="0"/>
    </font>
    <font>
      <sz val="8.5"/>
      <color indexed="8"/>
      <name val="Arial"/>
      <family val="0"/>
    </font>
    <font>
      <sz val="22"/>
      <color indexed="8"/>
      <name val="Arial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Arial"/>
      <family val="0"/>
    </font>
    <font>
      <sz val="11.25"/>
      <color indexed="8"/>
      <name val="Arial"/>
      <family val="0"/>
    </font>
    <font>
      <sz val="8.25"/>
      <color indexed="8"/>
      <name val="Arial"/>
      <family val="0"/>
    </font>
    <font>
      <b/>
      <sz val="11.25"/>
      <color indexed="8"/>
      <name val="Arial"/>
      <family val="0"/>
    </font>
    <font>
      <sz val="10.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10"/>
      <color rgb="FF00B05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9" fillId="3" borderId="0" applyNumberFormat="0" applyBorder="0" applyAlignment="0" applyProtection="0"/>
    <xf numFmtId="0" fontId="1" fillId="4" borderId="0" applyNumberFormat="0" applyBorder="0" applyAlignment="0" applyProtection="0"/>
    <xf numFmtId="0" fontId="89" fillId="5" borderId="0" applyNumberFormat="0" applyBorder="0" applyAlignment="0" applyProtection="0"/>
    <xf numFmtId="0" fontId="1" fillId="6" borderId="0" applyNumberFormat="0" applyBorder="0" applyAlignment="0" applyProtection="0"/>
    <xf numFmtId="0" fontId="89" fillId="7" borderId="0" applyNumberFormat="0" applyBorder="0" applyAlignment="0" applyProtection="0"/>
    <xf numFmtId="0" fontId="1" fillId="8" borderId="0" applyNumberFormat="0" applyBorder="0" applyAlignment="0" applyProtection="0"/>
    <xf numFmtId="0" fontId="89" fillId="9" borderId="0" applyNumberFormat="0" applyBorder="0" applyAlignment="0" applyProtection="0"/>
    <xf numFmtId="0" fontId="1" fillId="10" borderId="0" applyNumberFormat="0" applyBorder="0" applyAlignment="0" applyProtection="0"/>
    <xf numFmtId="0" fontId="89" fillId="11" borderId="0" applyNumberFormat="0" applyBorder="0" applyAlignment="0" applyProtection="0"/>
    <xf numFmtId="0" fontId="1" fillId="12" borderId="0" applyNumberFormat="0" applyBorder="0" applyAlignment="0" applyProtection="0"/>
    <xf numFmtId="0" fontId="89" fillId="13" borderId="0" applyNumberFormat="0" applyBorder="0" applyAlignment="0" applyProtection="0"/>
    <xf numFmtId="0" fontId="1" fillId="14" borderId="0" applyNumberFormat="0" applyBorder="0" applyAlignment="0" applyProtection="0"/>
    <xf numFmtId="0" fontId="89" fillId="15" borderId="0" applyNumberFormat="0" applyBorder="0" applyAlignment="0" applyProtection="0"/>
    <xf numFmtId="0" fontId="1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8" borderId="0" applyNumberFormat="0" applyBorder="0" applyAlignment="0" applyProtection="0"/>
    <xf numFmtId="0" fontId="89" fillId="19" borderId="0" applyNumberFormat="0" applyBorder="0" applyAlignment="0" applyProtection="0"/>
    <xf numFmtId="0" fontId="1" fillId="8" borderId="0" applyNumberFormat="0" applyBorder="0" applyAlignment="0" applyProtection="0"/>
    <xf numFmtId="0" fontId="89" fillId="20" borderId="0" applyNumberFormat="0" applyBorder="0" applyAlignment="0" applyProtection="0"/>
    <xf numFmtId="0" fontId="1" fillId="14" borderId="0" applyNumberFormat="0" applyBorder="0" applyAlignment="0" applyProtection="0"/>
    <xf numFmtId="0" fontId="89" fillId="21" borderId="0" applyNumberFormat="0" applyBorder="0" applyAlignment="0" applyProtection="0"/>
    <xf numFmtId="0" fontId="1" fillId="22" borderId="0" applyNumberFormat="0" applyBorder="0" applyAlignment="0" applyProtection="0"/>
    <xf numFmtId="0" fontId="89" fillId="23" borderId="0" applyNumberFormat="0" applyBorder="0" applyAlignment="0" applyProtection="0"/>
    <xf numFmtId="0" fontId="6" fillId="24" borderId="0" applyNumberFormat="0" applyBorder="0" applyAlignment="0" applyProtection="0"/>
    <xf numFmtId="0" fontId="90" fillId="25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6" fillId="18" borderId="0" applyNumberFormat="0" applyBorder="0" applyAlignment="0" applyProtection="0"/>
    <xf numFmtId="0" fontId="90" fillId="27" borderId="0" applyNumberFormat="0" applyBorder="0" applyAlignment="0" applyProtection="0"/>
    <xf numFmtId="0" fontId="6" fillId="28" borderId="0" applyNumberFormat="0" applyBorder="0" applyAlignment="0" applyProtection="0"/>
    <xf numFmtId="0" fontId="90" fillId="29" borderId="0" applyNumberFormat="0" applyBorder="0" applyAlignment="0" applyProtection="0"/>
    <xf numFmtId="0" fontId="6" fillId="30" borderId="0" applyNumberFormat="0" applyBorder="0" applyAlignment="0" applyProtection="0"/>
    <xf numFmtId="0" fontId="90" fillId="31" borderId="0" applyNumberFormat="0" applyBorder="0" applyAlignment="0" applyProtection="0"/>
    <xf numFmtId="0" fontId="6" fillId="32" borderId="0" applyNumberFormat="0" applyBorder="0" applyAlignment="0" applyProtection="0"/>
    <xf numFmtId="0" fontId="90" fillId="33" borderId="0" applyNumberFormat="0" applyBorder="0" applyAlignment="0" applyProtection="0"/>
    <xf numFmtId="3" fontId="7" fillId="0" borderId="0">
      <alignment/>
      <protection/>
    </xf>
    <xf numFmtId="3" fontId="8" fillId="0" borderId="0">
      <alignment/>
      <protection/>
    </xf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9" fillId="0" borderId="0">
      <alignment/>
      <protection locked="0"/>
    </xf>
    <xf numFmtId="0" fontId="10" fillId="6" borderId="0" applyNumberFormat="0" applyBorder="0" applyAlignment="0" applyProtection="0"/>
    <xf numFmtId="0" fontId="91" fillId="34" borderId="0" applyNumberFormat="0" applyBorder="0" applyAlignment="0" applyProtection="0"/>
    <xf numFmtId="170" fontId="0" fillId="0" borderId="0" applyFont="0" applyFill="0" applyBorder="0" applyAlignment="0" applyProtection="0"/>
    <xf numFmtId="169" fontId="9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2" fillId="35" borderId="1" applyNumberFormat="0" applyAlignment="0" applyProtection="0"/>
    <xf numFmtId="0" fontId="92" fillId="36" borderId="2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93" fillId="0" borderId="4" applyNumberFormat="0" applyFill="0" applyAlignment="0" applyProtection="0"/>
    <xf numFmtId="0" fontId="14" fillId="0" borderId="5" applyNumberFormat="0" applyFill="0" applyAlignment="0" applyProtection="0"/>
    <xf numFmtId="0" fontId="94" fillId="0" borderId="6" applyNumberFormat="0" applyFill="0" applyAlignment="0" applyProtection="0"/>
    <xf numFmtId="0" fontId="15" fillId="0" borderId="7" applyNumberFormat="0" applyFill="0" applyAlignment="0" applyProtection="0"/>
    <xf numFmtId="0" fontId="9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2" fontId="16" fillId="0" borderId="0">
      <alignment/>
      <protection/>
    </xf>
    <xf numFmtId="0" fontId="17" fillId="37" borderId="0" applyNumberFormat="0" applyBorder="0" applyAlignment="0" applyProtection="0"/>
    <xf numFmtId="0" fontId="96" fillId="3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4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8" fillId="0" borderId="0">
      <alignment/>
      <protection/>
    </xf>
    <xf numFmtId="0" fontId="4" fillId="39" borderId="9" applyNumberFormat="0" applyFont="0" applyAlignment="0" applyProtection="0"/>
    <xf numFmtId="0" fontId="89" fillId="40" borderId="10" applyNumberFormat="0" applyFont="0" applyAlignment="0" applyProtection="0"/>
    <xf numFmtId="0" fontId="19" fillId="0" borderId="11" applyNumberFormat="0" applyFill="0" applyAlignment="0" applyProtection="0"/>
    <xf numFmtId="0" fontId="98" fillId="0" borderId="12" applyNumberFormat="0" applyFill="0" applyAlignment="0" applyProtection="0"/>
    <xf numFmtId="49" fontId="20" fillId="0" borderId="0">
      <alignment/>
      <protection/>
    </xf>
    <xf numFmtId="0" fontId="21" fillId="0" borderId="13" applyNumberFormat="0" applyFill="0" applyAlignment="0" applyProtection="0"/>
    <xf numFmtId="0" fontId="99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5">
      <alignment/>
      <protection locked="0"/>
    </xf>
    <xf numFmtId="0" fontId="24" fillId="0" borderId="0">
      <alignment/>
      <protection/>
    </xf>
    <xf numFmtId="0" fontId="25" fillId="12" borderId="16" applyNumberFormat="0" applyAlignment="0" applyProtection="0"/>
    <xf numFmtId="0" fontId="101" fillId="41" borderId="17" applyNumberFormat="0" applyAlignment="0" applyProtection="0"/>
    <xf numFmtId="0" fontId="26" fillId="42" borderId="16" applyNumberFormat="0" applyAlignment="0" applyProtection="0"/>
    <xf numFmtId="0" fontId="102" fillId="43" borderId="17" applyNumberFormat="0" applyAlignment="0" applyProtection="0"/>
    <xf numFmtId="0" fontId="27" fillId="42" borderId="18" applyNumberFormat="0" applyAlignment="0" applyProtection="0"/>
    <xf numFmtId="0" fontId="103" fillId="43" borderId="19" applyNumberFormat="0" applyAlignment="0" applyProtection="0"/>
    <xf numFmtId="0" fontId="2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05" fillId="44" borderId="0" applyNumberFormat="0" applyBorder="0" applyAlignment="0" applyProtection="0"/>
    <xf numFmtId="0" fontId="6" fillId="45" borderId="0" applyNumberFormat="0" applyBorder="0" applyAlignment="0" applyProtection="0"/>
    <xf numFmtId="0" fontId="90" fillId="46" borderId="0" applyNumberFormat="0" applyBorder="0" applyAlignment="0" applyProtection="0"/>
    <xf numFmtId="0" fontId="6" fillId="47" borderId="0" applyNumberFormat="0" applyBorder="0" applyAlignment="0" applyProtection="0"/>
    <xf numFmtId="0" fontId="90" fillId="48" borderId="0" applyNumberFormat="0" applyBorder="0" applyAlignment="0" applyProtection="0"/>
    <xf numFmtId="0" fontId="6" fillId="49" borderId="0" applyNumberFormat="0" applyBorder="0" applyAlignment="0" applyProtection="0"/>
    <xf numFmtId="0" fontId="90" fillId="50" borderId="0" applyNumberFormat="0" applyBorder="0" applyAlignment="0" applyProtection="0"/>
    <xf numFmtId="0" fontId="6" fillId="28" borderId="0" applyNumberFormat="0" applyBorder="0" applyAlignment="0" applyProtection="0"/>
    <xf numFmtId="0" fontId="90" fillId="51" borderId="0" applyNumberFormat="0" applyBorder="0" applyAlignment="0" applyProtection="0"/>
    <xf numFmtId="0" fontId="6" fillId="30" borderId="0" applyNumberFormat="0" applyBorder="0" applyAlignment="0" applyProtection="0"/>
    <xf numFmtId="0" fontId="90" fillId="52" borderId="0" applyNumberFormat="0" applyBorder="0" applyAlignment="0" applyProtection="0"/>
    <xf numFmtId="0" fontId="6" fillId="53" borderId="0" applyNumberFormat="0" applyBorder="0" applyAlignment="0" applyProtection="0"/>
    <xf numFmtId="0" fontId="90" fillId="54" borderId="0" applyNumberFormat="0" applyBorder="0" applyAlignment="0" applyProtection="0"/>
  </cellStyleXfs>
  <cellXfs count="110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2" fontId="0" fillId="0" borderId="22" xfId="0" applyNumberFormat="1" applyFont="1" applyFill="1" applyBorder="1" applyAlignment="1">
      <alignment wrapText="1"/>
    </xf>
    <xf numFmtId="166" fontId="0" fillId="0" borderId="0" xfId="55" applyFont="1" applyFill="1" applyBorder="1" applyAlignment="1">
      <alignment/>
    </xf>
    <xf numFmtId="166" fontId="0" fillId="0" borderId="23" xfId="55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2" fillId="0" borderId="0" xfId="134" applyFont="1" applyFill="1">
      <alignment/>
      <protection/>
    </xf>
    <xf numFmtId="0" fontId="30" fillId="0" borderId="0" xfId="134" applyFont="1" applyFill="1">
      <alignment/>
      <protection/>
    </xf>
    <xf numFmtId="0" fontId="0" fillId="0" borderId="22" xfId="0" applyFont="1" applyFill="1" applyBorder="1" applyAlignment="1">
      <alignment horizontal="center" wrapText="1"/>
    </xf>
    <xf numFmtId="49" fontId="0" fillId="0" borderId="22" xfId="123" applyNumberFormat="1" applyFont="1" applyFill="1" applyBorder="1" applyAlignment="1">
      <alignment horizontal="center" wrapText="1"/>
      <protection/>
    </xf>
    <xf numFmtId="0" fontId="0" fillId="0" borderId="0" xfId="133" applyFont="1" applyFill="1">
      <alignment/>
      <protection/>
    </xf>
    <xf numFmtId="0" fontId="2" fillId="0" borderId="0" xfId="123" applyFont="1" applyFill="1">
      <alignment/>
      <protection/>
    </xf>
    <xf numFmtId="0" fontId="2" fillId="0" borderId="0" xfId="123" applyFont="1" applyFill="1" applyAlignment="1">
      <alignment horizontal="right"/>
      <protection/>
    </xf>
    <xf numFmtId="0" fontId="2" fillId="0" borderId="22" xfId="123" applyFont="1" applyFill="1" applyBorder="1" applyAlignment="1">
      <alignment horizontal="center"/>
      <protection/>
    </xf>
    <xf numFmtId="49" fontId="2" fillId="0" borderId="22" xfId="123" applyNumberFormat="1" applyFont="1" applyFill="1" applyBorder="1" applyAlignment="1">
      <alignment horizontal="center" wrapText="1"/>
      <protection/>
    </xf>
    <xf numFmtId="0" fontId="2" fillId="0" borderId="22" xfId="123" applyFont="1" applyFill="1" applyBorder="1">
      <alignment/>
      <protection/>
    </xf>
    <xf numFmtId="3" fontId="2" fillId="0" borderId="22" xfId="123" applyNumberFormat="1" applyFont="1" applyFill="1" applyBorder="1">
      <alignment/>
      <protection/>
    </xf>
    <xf numFmtId="3" fontId="2" fillId="0" borderId="0" xfId="123" applyNumberFormat="1" applyFont="1" applyFill="1">
      <alignment/>
      <protection/>
    </xf>
    <xf numFmtId="0" fontId="2" fillId="0" borderId="0" xfId="133" applyFont="1" applyFill="1">
      <alignment/>
      <protection/>
    </xf>
    <xf numFmtId="0" fontId="2" fillId="0" borderId="0" xfId="124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36" applyFont="1" applyFill="1">
      <alignment/>
      <protection/>
    </xf>
    <xf numFmtId="0" fontId="2" fillId="0" borderId="0" xfId="136" applyFont="1" applyFill="1" applyAlignment="1">
      <alignment horizontal="right"/>
      <protection/>
    </xf>
    <xf numFmtId="0" fontId="2" fillId="0" borderId="0" xfId="136" applyFont="1" applyFill="1" applyBorder="1">
      <alignment/>
      <protection/>
    </xf>
    <xf numFmtId="0" fontId="2" fillId="0" borderId="0" xfId="136" applyFont="1" applyFill="1" applyBorder="1" applyAlignment="1">
      <alignment horizontal="right"/>
      <protection/>
    </xf>
    <xf numFmtId="0" fontId="2" fillId="0" borderId="22" xfId="136" applyFont="1" applyFill="1" applyBorder="1" applyAlignment="1">
      <alignment horizontal="center" wrapText="1"/>
      <protection/>
    </xf>
    <xf numFmtId="0" fontId="2" fillId="0" borderId="0" xfId="136" applyFont="1" applyFill="1" applyBorder="1" applyAlignment="1">
      <alignment wrapText="1"/>
      <protection/>
    </xf>
    <xf numFmtId="0" fontId="2" fillId="0" borderId="22" xfId="136" applyFont="1" applyFill="1" applyBorder="1" applyAlignment="1">
      <alignment horizontal="center"/>
      <protection/>
    </xf>
    <xf numFmtId="0" fontId="2" fillId="0" borderId="20" xfId="136" applyFont="1" applyFill="1" applyBorder="1" applyAlignment="1">
      <alignment horizontal="left" wrapText="1"/>
      <protection/>
    </xf>
    <xf numFmtId="0" fontId="2" fillId="0" borderId="20" xfId="136" applyFont="1" applyFill="1" applyBorder="1" applyAlignment="1">
      <alignment horizontal="center" wrapText="1"/>
      <protection/>
    </xf>
    <xf numFmtId="0" fontId="2" fillId="0" borderId="20" xfId="136" applyFont="1" applyFill="1" applyBorder="1" applyAlignment="1">
      <alignment horizontal="center"/>
      <protection/>
    </xf>
    <xf numFmtId="0" fontId="2" fillId="0" borderId="21" xfId="136" applyFont="1" applyFill="1" applyBorder="1">
      <alignment/>
      <protection/>
    </xf>
    <xf numFmtId="3" fontId="2" fillId="0" borderId="21" xfId="136" applyNumberFormat="1" applyFont="1" applyFill="1" applyBorder="1">
      <alignment/>
      <protection/>
    </xf>
    <xf numFmtId="2" fontId="2" fillId="0" borderId="21" xfId="136" applyNumberFormat="1" applyFont="1" applyFill="1" applyBorder="1">
      <alignment/>
      <protection/>
    </xf>
    <xf numFmtId="3" fontId="2" fillId="0" borderId="0" xfId="136" applyNumberFormat="1" applyFont="1" applyFill="1" applyBorder="1">
      <alignment/>
      <protection/>
    </xf>
    <xf numFmtId="2" fontId="2" fillId="0" borderId="0" xfId="136" applyNumberFormat="1" applyFont="1" applyFill="1" applyBorder="1">
      <alignment/>
      <protection/>
    </xf>
    <xf numFmtId="0" fontId="2" fillId="0" borderId="21" xfId="136" applyFont="1" applyFill="1" applyBorder="1" applyAlignment="1">
      <alignment wrapText="1"/>
      <protection/>
    </xf>
    <xf numFmtId="3" fontId="2" fillId="0" borderId="21" xfId="136" applyNumberFormat="1" applyFont="1" applyFill="1" applyBorder="1" applyAlignment="1">
      <alignment wrapText="1"/>
      <protection/>
    </xf>
    <xf numFmtId="3" fontId="2" fillId="0" borderId="21" xfId="136" applyNumberFormat="1" applyFont="1" applyFill="1" applyBorder="1" quotePrefix="1">
      <alignment/>
      <protection/>
    </xf>
    <xf numFmtId="0" fontId="2" fillId="0" borderId="22" xfId="136" applyFont="1" applyFill="1" applyBorder="1" applyAlignment="1">
      <alignment wrapText="1"/>
      <protection/>
    </xf>
    <xf numFmtId="3" fontId="2" fillId="0" borderId="22" xfId="136" applyNumberFormat="1" applyFont="1" applyFill="1" applyBorder="1" applyAlignment="1">
      <alignment wrapText="1"/>
      <protection/>
    </xf>
    <xf numFmtId="3" fontId="2" fillId="0" borderId="22" xfId="136" applyNumberFormat="1" applyFont="1" applyFill="1" applyBorder="1">
      <alignment/>
      <protection/>
    </xf>
    <xf numFmtId="2" fontId="2" fillId="0" borderId="22" xfId="136" applyNumberFormat="1" applyFont="1" applyFill="1" applyBorder="1">
      <alignment/>
      <protection/>
    </xf>
    <xf numFmtId="4" fontId="2" fillId="0" borderId="0" xfId="136" applyNumberFormat="1" applyFont="1" applyFill="1" applyBorder="1">
      <alignment/>
      <protection/>
    </xf>
    <xf numFmtId="0" fontId="2" fillId="0" borderId="21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 wrapText="1"/>
    </xf>
    <xf numFmtId="3" fontId="2" fillId="0" borderId="23" xfId="0" applyNumberFormat="1" applyFont="1" applyFill="1" applyBorder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21" xfId="138" applyFont="1" applyFill="1" applyBorder="1">
      <alignment/>
      <protection/>
    </xf>
    <xf numFmtId="3" fontId="2" fillId="0" borderId="21" xfId="138" applyNumberFormat="1" applyFont="1" applyFill="1" applyBorder="1">
      <alignment/>
      <protection/>
    </xf>
    <xf numFmtId="0" fontId="2" fillId="0" borderId="25" xfId="138" applyFont="1" applyFill="1" applyBorder="1">
      <alignment/>
      <protection/>
    </xf>
    <xf numFmtId="3" fontId="2" fillId="0" borderId="25" xfId="138" applyNumberFormat="1" applyFont="1" applyFill="1" applyBorder="1">
      <alignment/>
      <protection/>
    </xf>
    <xf numFmtId="0" fontId="2" fillId="0" borderId="22" xfId="138" applyFont="1" applyFill="1" applyBorder="1">
      <alignment/>
      <protection/>
    </xf>
    <xf numFmtId="3" fontId="2" fillId="0" borderId="22" xfId="138" applyNumberFormat="1" applyFont="1" applyFill="1" applyBorder="1">
      <alignment/>
      <protection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0" fontId="97" fillId="0" borderId="0" xfId="93">
      <alignment/>
      <protection/>
    </xf>
    <xf numFmtId="3" fontId="0" fillId="0" borderId="22" xfId="0" applyNumberFormat="1" applyFont="1" applyFill="1" applyBorder="1" applyAlignment="1">
      <alignment/>
    </xf>
    <xf numFmtId="49" fontId="2" fillId="0" borderId="22" xfId="123" applyNumberFormat="1" applyFont="1" applyFill="1" applyBorder="1" applyAlignment="1">
      <alignment horizontal="center" wrapText="1"/>
      <protection/>
    </xf>
    <xf numFmtId="0" fontId="2" fillId="0" borderId="0" xfId="134" applyFont="1" applyFill="1">
      <alignment/>
      <protection/>
    </xf>
    <xf numFmtId="0" fontId="2" fillId="0" borderId="20" xfId="123" applyFont="1" applyFill="1" applyBorder="1">
      <alignment/>
      <protection/>
    </xf>
    <xf numFmtId="3" fontId="2" fillId="0" borderId="20" xfId="123" applyNumberFormat="1" applyFont="1" applyFill="1" applyBorder="1">
      <alignment/>
      <protection/>
    </xf>
    <xf numFmtId="0" fontId="2" fillId="0" borderId="21" xfId="123" applyFont="1" applyFill="1" applyBorder="1">
      <alignment/>
      <protection/>
    </xf>
    <xf numFmtId="3" fontId="2" fillId="0" borderId="21" xfId="123" applyNumberFormat="1" applyFont="1" applyFill="1" applyBorder="1">
      <alignment/>
      <protection/>
    </xf>
    <xf numFmtId="3" fontId="2" fillId="0" borderId="25" xfId="123" applyNumberFormat="1" applyFont="1" applyFill="1" applyBorder="1">
      <alignment/>
      <protection/>
    </xf>
    <xf numFmtId="0" fontId="2" fillId="0" borderId="25" xfId="123" applyFont="1" applyFill="1" applyBorder="1">
      <alignment/>
      <protection/>
    </xf>
    <xf numFmtId="0" fontId="2" fillId="0" borderId="25" xfId="123" applyFont="1" applyFill="1" applyBorder="1">
      <alignment/>
      <protection/>
    </xf>
    <xf numFmtId="0" fontId="2" fillId="0" borderId="22" xfId="136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7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/>
    </xf>
    <xf numFmtId="0" fontId="47" fillId="0" borderId="29" xfId="0" applyFont="1" applyBorder="1" applyAlignment="1">
      <alignment horizontal="center" wrapText="1"/>
    </xf>
    <xf numFmtId="14" fontId="5" fillId="0" borderId="30" xfId="0" applyNumberFormat="1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horizontal="left"/>
    </xf>
    <xf numFmtId="172" fontId="5" fillId="0" borderId="32" xfId="0" applyNumberFormat="1" applyFont="1" applyBorder="1" applyAlignment="1">
      <alignment horizontal="right"/>
    </xf>
    <xf numFmtId="0" fontId="48" fillId="0" borderId="33" xfId="0" applyFont="1" applyBorder="1" applyAlignment="1">
      <alignment/>
    </xf>
    <xf numFmtId="0" fontId="48" fillId="0" borderId="32" xfId="0" applyFont="1" applyBorder="1" applyAlignment="1">
      <alignment/>
    </xf>
    <xf numFmtId="0" fontId="5" fillId="0" borderId="33" xfId="0" applyFont="1" applyBorder="1" applyAlignment="1">
      <alignment/>
    </xf>
    <xf numFmtId="172" fontId="5" fillId="0" borderId="32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31" xfId="0" applyNumberFormat="1" applyFont="1" applyBorder="1" applyAlignment="1">
      <alignment horizontal="right"/>
    </xf>
    <xf numFmtId="3" fontId="0" fillId="0" borderId="35" xfId="0" applyNumberFormat="1" applyFont="1" applyBorder="1" applyAlignment="1">
      <alignment horizontal="right"/>
    </xf>
    <xf numFmtId="3" fontId="4" fillId="0" borderId="35" xfId="0" applyNumberFormat="1" applyFont="1" applyBorder="1" applyAlignment="1">
      <alignment/>
    </xf>
    <xf numFmtId="3" fontId="0" fillId="0" borderId="32" xfId="0" applyNumberFormat="1" applyFont="1" applyBorder="1" applyAlignment="1">
      <alignment horizontal="right"/>
    </xf>
    <xf numFmtId="3" fontId="41" fillId="0" borderId="32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4" fillId="0" borderId="30" xfId="0" applyNumberFormat="1" applyFont="1" applyBorder="1" applyAlignment="1">
      <alignment/>
    </xf>
    <xf numFmtId="0" fontId="0" fillId="0" borderId="0" xfId="0" applyFont="1" applyAlignment="1">
      <alignment/>
    </xf>
    <xf numFmtId="14" fontId="5" fillId="0" borderId="34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49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/>
    </xf>
    <xf numFmtId="172" fontId="5" fillId="0" borderId="35" xfId="0" applyNumberFormat="1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4" xfId="0" applyFont="1" applyBorder="1" applyAlignment="1">
      <alignment/>
    </xf>
    <xf numFmtId="172" fontId="48" fillId="0" borderId="32" xfId="0" applyNumberFormat="1" applyFont="1" applyBorder="1" applyAlignment="1">
      <alignment/>
    </xf>
    <xf numFmtId="172" fontId="48" fillId="0" borderId="35" xfId="0" applyNumberFormat="1" applyFont="1" applyBorder="1" applyAlignment="1">
      <alignment/>
    </xf>
    <xf numFmtId="0" fontId="5" fillId="0" borderId="30" xfId="0" applyFont="1" applyBorder="1" applyAlignment="1">
      <alignment/>
    </xf>
    <xf numFmtId="172" fontId="5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49" fillId="0" borderId="0" xfId="0" applyFont="1" applyAlignment="1">
      <alignment/>
    </xf>
    <xf numFmtId="0" fontId="5" fillId="0" borderId="0" xfId="0" applyFont="1" applyFill="1" applyAlignment="1">
      <alignment/>
    </xf>
    <xf numFmtId="2" fontId="49" fillId="0" borderId="0" xfId="0" applyNumberFormat="1" applyFont="1" applyAlignment="1">
      <alignment/>
    </xf>
    <xf numFmtId="0" fontId="5" fillId="0" borderId="20" xfId="0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0" xfId="0" applyFont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55" borderId="40" xfId="0" applyNumberFormat="1" applyFont="1" applyFill="1" applyBorder="1" applyAlignment="1">
      <alignment/>
    </xf>
    <xf numFmtId="4" fontId="5" fillId="0" borderId="20" xfId="0" applyNumberFormat="1" applyFont="1" applyBorder="1" applyAlignment="1">
      <alignment/>
    </xf>
    <xf numFmtId="0" fontId="5" fillId="0" borderId="23" xfId="0" applyFont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3" fontId="50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wrapText="1" shrinkToFit="1"/>
    </xf>
    <xf numFmtId="4" fontId="5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5" fillId="56" borderId="23" xfId="0" applyFont="1" applyFill="1" applyBorder="1" applyAlignment="1">
      <alignment wrapText="1"/>
    </xf>
    <xf numFmtId="3" fontId="5" fillId="0" borderId="41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right"/>
    </xf>
    <xf numFmtId="3" fontId="5" fillId="0" borderId="41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0" fontId="5" fillId="0" borderId="33" xfId="0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3" fontId="5" fillId="0" borderId="42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right"/>
    </xf>
    <xf numFmtId="3" fontId="5" fillId="0" borderId="42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14" fontId="48" fillId="0" borderId="0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wrapText="1"/>
    </xf>
    <xf numFmtId="3" fontId="5" fillId="55" borderId="25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" fillId="0" borderId="22" xfId="0" applyNumberFormat="1" applyFont="1" applyFill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2" xfId="0" applyNumberFormat="1" applyFont="1" applyFill="1" applyBorder="1" applyAlignment="1">
      <alignment horizontal="right"/>
    </xf>
    <xf numFmtId="14" fontId="2" fillId="0" borderId="0" xfId="134" applyNumberFormat="1" applyFont="1" applyFill="1">
      <alignment/>
      <protection/>
    </xf>
    <xf numFmtId="3" fontId="2" fillId="0" borderId="0" xfId="134" applyNumberFormat="1" applyFont="1" applyFill="1">
      <alignment/>
      <protection/>
    </xf>
    <xf numFmtId="0" fontId="2" fillId="0" borderId="0" xfId="134" applyFont="1" applyFill="1" applyBorder="1" applyAlignment="1">
      <alignment horizontal="left"/>
      <protection/>
    </xf>
    <xf numFmtId="0" fontId="2" fillId="0" borderId="0" xfId="134" applyFont="1" applyFill="1" applyBorder="1">
      <alignment/>
      <protection/>
    </xf>
    <xf numFmtId="0" fontId="30" fillId="0" borderId="0" xfId="134" applyFont="1" applyFill="1" applyBorder="1">
      <alignment/>
      <protection/>
    </xf>
    <xf numFmtId="0" fontId="2" fillId="0" borderId="0" xfId="134" applyFont="1" applyFill="1" applyBorder="1" applyAlignment="1">
      <alignment horizontal="right"/>
      <protection/>
    </xf>
    <xf numFmtId="0" fontId="2" fillId="0" borderId="20" xfId="134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 wrapText="1"/>
    </xf>
    <xf numFmtId="173" fontId="2" fillId="0" borderId="22" xfId="73" applyNumberFormat="1" applyFont="1" applyFill="1" applyBorder="1" applyAlignment="1">
      <alignment horizontal="center" wrapText="1"/>
    </xf>
    <xf numFmtId="0" fontId="2" fillId="0" borderId="22" xfId="134" applyFont="1" applyFill="1" applyBorder="1" applyAlignment="1">
      <alignment horizontal="center"/>
      <protection/>
    </xf>
    <xf numFmtId="0" fontId="30" fillId="0" borderId="22" xfId="134" applyFont="1" applyFill="1" applyBorder="1" applyAlignment="1">
      <alignment horizontal="center"/>
      <protection/>
    </xf>
    <xf numFmtId="0" fontId="2" fillId="0" borderId="22" xfId="127" applyFont="1" applyFill="1" applyBorder="1" applyAlignment="1">
      <alignment horizontal="center"/>
      <protection/>
    </xf>
    <xf numFmtId="0" fontId="2" fillId="0" borderId="21" xfId="134" applyFont="1" applyFill="1" applyBorder="1" applyAlignment="1">
      <alignment horizontal="left"/>
      <protection/>
    </xf>
    <xf numFmtId="0" fontId="2" fillId="0" borderId="21" xfId="134" applyFont="1" applyFill="1" applyBorder="1" applyAlignment="1">
      <alignment horizontal="center"/>
      <protection/>
    </xf>
    <xf numFmtId="0" fontId="30" fillId="0" borderId="21" xfId="134" applyFont="1" applyFill="1" applyBorder="1" applyAlignment="1">
      <alignment horizontal="center"/>
      <protection/>
    </xf>
    <xf numFmtId="0" fontId="2" fillId="0" borderId="21" xfId="134" applyFont="1" applyFill="1" applyBorder="1">
      <alignment/>
      <protection/>
    </xf>
    <xf numFmtId="3" fontId="2" fillId="0" borderId="21" xfId="134" applyNumberFormat="1" applyFont="1" applyFill="1" applyBorder="1">
      <alignment/>
      <protection/>
    </xf>
    <xf numFmtId="2" fontId="2" fillId="0" borderId="21" xfId="134" applyNumberFormat="1" applyFont="1" applyFill="1" applyBorder="1">
      <alignment/>
      <protection/>
    </xf>
    <xf numFmtId="3" fontId="2" fillId="0" borderId="24" xfId="134" applyNumberFormat="1" applyFont="1" applyFill="1" applyBorder="1">
      <alignment/>
      <protection/>
    </xf>
    <xf numFmtId="3" fontId="2" fillId="0" borderId="25" xfId="134" applyNumberFormat="1" applyFont="1" applyFill="1" applyBorder="1">
      <alignment/>
      <protection/>
    </xf>
    <xf numFmtId="2" fontId="2" fillId="0" borderId="25" xfId="134" applyNumberFormat="1" applyFont="1" applyFill="1" applyBorder="1">
      <alignment/>
      <protection/>
    </xf>
    <xf numFmtId="0" fontId="2" fillId="0" borderId="20" xfId="134" applyFont="1" applyFill="1" applyBorder="1">
      <alignment/>
      <protection/>
    </xf>
    <xf numFmtId="3" fontId="2" fillId="0" borderId="20" xfId="134" applyNumberFormat="1" applyFont="1" applyFill="1" applyBorder="1">
      <alignment/>
      <protection/>
    </xf>
    <xf numFmtId="0" fontId="2" fillId="0" borderId="25" xfId="134" applyFont="1" applyFill="1" applyBorder="1">
      <alignment/>
      <protection/>
    </xf>
    <xf numFmtId="0" fontId="2" fillId="0" borderId="20" xfId="127" applyFont="1" applyFill="1" applyBorder="1">
      <alignment/>
      <protection/>
    </xf>
    <xf numFmtId="0" fontId="30" fillId="0" borderId="20" xfId="127" applyFont="1" applyFill="1" applyBorder="1">
      <alignment/>
      <protection/>
    </xf>
    <xf numFmtId="2" fontId="2" fillId="0" borderId="20" xfId="134" applyNumberFormat="1" applyFont="1" applyFill="1" applyBorder="1">
      <alignment/>
      <protection/>
    </xf>
    <xf numFmtId="0" fontId="2" fillId="0" borderId="21" xfId="127" applyFont="1" applyFill="1" applyBorder="1">
      <alignment/>
      <protection/>
    </xf>
    <xf numFmtId="3" fontId="2" fillId="0" borderId="21" xfId="127" applyNumberFormat="1" applyFont="1" applyFill="1" applyBorder="1">
      <alignment/>
      <protection/>
    </xf>
    <xf numFmtId="3" fontId="2" fillId="0" borderId="25" xfId="127" applyNumberFormat="1" applyFont="1" applyFill="1" applyBorder="1">
      <alignment/>
      <protection/>
    </xf>
    <xf numFmtId="0" fontId="2" fillId="0" borderId="0" xfId="126" applyFont="1" applyFill="1">
      <alignment/>
      <protection/>
    </xf>
    <xf numFmtId="0" fontId="2" fillId="0" borderId="0" xfId="0" applyFont="1" applyFill="1" applyAlignment="1">
      <alignment/>
    </xf>
    <xf numFmtId="3" fontId="2" fillId="0" borderId="21" xfId="123" applyNumberFormat="1" applyFont="1" applyFill="1" applyBorder="1">
      <alignment/>
      <protection/>
    </xf>
    <xf numFmtId="0" fontId="51" fillId="0" borderId="0" xfId="120" applyFont="1" applyAlignment="1">
      <alignment horizontal="centerContinuous"/>
      <protection/>
    </xf>
    <xf numFmtId="0" fontId="52" fillId="0" borderId="0" xfId="120" applyFont="1" applyAlignment="1">
      <alignment horizontal="centerContinuous"/>
      <protection/>
    </xf>
    <xf numFmtId="0" fontId="52" fillId="0" borderId="0" xfId="120" applyFont="1" applyAlignment="1">
      <alignment/>
      <protection/>
    </xf>
    <xf numFmtId="0" fontId="4" fillId="0" borderId="0" xfId="120">
      <alignment/>
      <protection/>
    </xf>
    <xf numFmtId="0" fontId="4" fillId="0" borderId="0" xfId="120" applyFont="1" applyAlignment="1">
      <alignment horizontal="right"/>
      <protection/>
    </xf>
    <xf numFmtId="0" fontId="18" fillId="0" borderId="0" xfId="120" applyFont="1" applyAlignment="1">
      <alignment horizontal="right"/>
      <protection/>
    </xf>
    <xf numFmtId="0" fontId="48" fillId="0" borderId="0" xfId="120" applyFont="1" applyAlignment="1">
      <alignment horizontal="right"/>
      <protection/>
    </xf>
    <xf numFmtId="0" fontId="16" fillId="0" borderId="31" xfId="120" applyFont="1" applyBorder="1" applyAlignment="1">
      <alignment horizontal="center"/>
      <protection/>
    </xf>
    <xf numFmtId="0" fontId="53" fillId="0" borderId="43" xfId="120" applyFont="1" applyBorder="1" applyAlignment="1">
      <alignment horizontal="centerContinuous"/>
      <protection/>
    </xf>
    <xf numFmtId="0" fontId="16" fillId="0" borderId="43" xfId="120" applyFont="1" applyBorder="1" applyAlignment="1">
      <alignment horizontal="centerContinuous"/>
      <protection/>
    </xf>
    <xf numFmtId="0" fontId="18" fillId="0" borderId="43" xfId="120" applyFont="1" applyBorder="1" applyAlignment="1">
      <alignment horizontal="centerContinuous"/>
      <protection/>
    </xf>
    <xf numFmtId="0" fontId="16" fillId="0" borderId="44" xfId="120" applyFont="1" applyBorder="1" applyAlignment="1">
      <alignment horizontal="centerContinuous"/>
      <protection/>
    </xf>
    <xf numFmtId="0" fontId="18" fillId="0" borderId="32" xfId="120" applyFont="1" applyBorder="1">
      <alignment/>
      <protection/>
    </xf>
    <xf numFmtId="0" fontId="16" fillId="0" borderId="32" xfId="120" applyFont="1" applyBorder="1" applyAlignment="1">
      <alignment horizontal="center"/>
      <protection/>
    </xf>
    <xf numFmtId="0" fontId="16" fillId="0" borderId="45" xfId="120" applyFont="1" applyBorder="1" applyAlignment="1">
      <alignment horizontal="centerContinuous"/>
      <protection/>
    </xf>
    <xf numFmtId="0" fontId="16" fillId="0" borderId="46" xfId="120" applyFont="1" applyBorder="1" applyAlignment="1">
      <alignment horizontal="centerContinuous"/>
      <protection/>
    </xf>
    <xf numFmtId="0" fontId="16" fillId="0" borderId="47" xfId="120" applyFont="1" applyBorder="1" applyAlignment="1">
      <alignment horizontal="centerContinuous"/>
      <protection/>
    </xf>
    <xf numFmtId="0" fontId="48" fillId="0" borderId="33" xfId="120" applyFont="1" applyBorder="1" applyAlignment="1">
      <alignment horizontal="center"/>
      <protection/>
    </xf>
    <xf numFmtId="0" fontId="48" fillId="0" borderId="20" xfId="120" applyFont="1" applyBorder="1" applyAlignment="1">
      <alignment horizontal="center"/>
      <protection/>
    </xf>
    <xf numFmtId="0" fontId="48" fillId="0" borderId="48" xfId="120" applyFont="1" applyBorder="1" applyAlignment="1">
      <alignment horizontal="center"/>
      <protection/>
    </xf>
    <xf numFmtId="0" fontId="18" fillId="0" borderId="35" xfId="120" applyFont="1" applyBorder="1" applyAlignment="1">
      <alignment horizontal="center"/>
      <protection/>
    </xf>
    <xf numFmtId="0" fontId="4" fillId="0" borderId="30" xfId="120" applyFont="1" applyBorder="1" applyAlignment="1">
      <alignment horizontal="center"/>
      <protection/>
    </xf>
    <xf numFmtId="0" fontId="4" fillId="0" borderId="38" xfId="120" applyFont="1" applyBorder="1" applyAlignment="1">
      <alignment horizontal="center"/>
      <protection/>
    </xf>
    <xf numFmtId="0" fontId="4" fillId="0" borderId="49" xfId="120" applyFont="1" applyBorder="1" applyAlignment="1">
      <alignment horizontal="center"/>
      <protection/>
    </xf>
    <xf numFmtId="0" fontId="4" fillId="0" borderId="34" xfId="120" applyFont="1" applyBorder="1" applyAlignment="1">
      <alignment horizontal="center"/>
      <protection/>
    </xf>
    <xf numFmtId="0" fontId="48" fillId="0" borderId="32" xfId="120" applyFont="1" applyBorder="1">
      <alignment/>
      <protection/>
    </xf>
    <xf numFmtId="164" fontId="54" fillId="0" borderId="32" xfId="120" applyNumberFormat="1" applyFont="1" applyBorder="1">
      <alignment/>
      <protection/>
    </xf>
    <xf numFmtId="164" fontId="48" fillId="0" borderId="33" xfId="120" applyNumberFormat="1" applyFont="1" applyBorder="1">
      <alignment/>
      <protection/>
    </xf>
    <xf numFmtId="164" fontId="48" fillId="0" borderId="21" xfId="120" applyNumberFormat="1" applyFont="1" applyBorder="1">
      <alignment/>
      <protection/>
    </xf>
    <xf numFmtId="164" fontId="48" fillId="0" borderId="35" xfId="120" applyNumberFormat="1" applyFont="1" applyBorder="1">
      <alignment/>
      <protection/>
    </xf>
    <xf numFmtId="164" fontId="4" fillId="0" borderId="0" xfId="120" applyNumberFormat="1">
      <alignment/>
      <protection/>
    </xf>
    <xf numFmtId="0" fontId="48" fillId="0" borderId="28" xfId="120" applyFont="1" applyBorder="1">
      <alignment/>
      <protection/>
    </xf>
    <xf numFmtId="164" fontId="48" fillId="0" borderId="28" xfId="120" applyNumberFormat="1" applyFont="1" applyBorder="1">
      <alignment/>
      <protection/>
    </xf>
    <xf numFmtId="164" fontId="48" fillId="0" borderId="29" xfId="120" applyNumberFormat="1" applyFont="1" applyBorder="1">
      <alignment/>
      <protection/>
    </xf>
    <xf numFmtId="164" fontId="48" fillId="0" borderId="50" xfId="120" applyNumberFormat="1" applyFont="1" applyBorder="1">
      <alignment/>
      <protection/>
    </xf>
    <xf numFmtId="164" fontId="48" fillId="0" borderId="37" xfId="120" applyNumberFormat="1" applyFont="1" applyBorder="1">
      <alignment/>
      <protection/>
    </xf>
    <xf numFmtId="0" fontId="18" fillId="0" borderId="33" xfId="120" applyFont="1" applyBorder="1" applyAlignment="1">
      <alignment horizontal="center"/>
      <protection/>
    </xf>
    <xf numFmtId="0" fontId="18" fillId="0" borderId="20" xfId="120" applyFont="1" applyBorder="1" applyAlignment="1">
      <alignment horizontal="center"/>
      <protection/>
    </xf>
    <xf numFmtId="0" fontId="4" fillId="0" borderId="0" xfId="120" applyFont="1">
      <alignment/>
      <protection/>
    </xf>
    <xf numFmtId="0" fontId="0" fillId="0" borderId="0" xfId="121" applyFill="1">
      <alignment/>
      <protection/>
    </xf>
    <xf numFmtId="0" fontId="55" fillId="0" borderId="0" xfId="121" applyFont="1" applyFill="1">
      <alignment/>
      <protection/>
    </xf>
    <xf numFmtId="0" fontId="0" fillId="0" borderId="0" xfId="111" applyFill="1">
      <alignment/>
      <protection/>
    </xf>
    <xf numFmtId="0" fontId="56" fillId="0" borderId="0" xfId="111" applyFont="1" applyFill="1" applyAlignment="1">
      <alignment horizontal="centerContinuous"/>
      <protection/>
    </xf>
    <xf numFmtId="0" fontId="0" fillId="0" borderId="0" xfId="111" applyFont="1" applyFill="1" applyAlignment="1">
      <alignment horizontal="centerContinuous"/>
      <protection/>
    </xf>
    <xf numFmtId="0" fontId="0" fillId="0" borderId="0" xfId="111" applyFill="1" applyAlignment="1">
      <alignment horizontal="centerContinuous"/>
      <protection/>
    </xf>
    <xf numFmtId="0" fontId="57" fillId="0" borderId="0" xfId="111" applyFont="1" applyFill="1">
      <alignment/>
      <protection/>
    </xf>
    <xf numFmtId="174" fontId="58" fillId="0" borderId="0" xfId="121" applyNumberFormat="1" applyFont="1" applyFill="1" applyBorder="1">
      <alignment/>
      <protection/>
    </xf>
    <xf numFmtId="0" fontId="0" fillId="0" borderId="0" xfId="121" applyFont="1" applyFill="1">
      <alignment/>
      <protection/>
    </xf>
    <xf numFmtId="0" fontId="0" fillId="0" borderId="0" xfId="111" applyFill="1" applyAlignment="1">
      <alignment horizontal="right"/>
      <protection/>
    </xf>
    <xf numFmtId="49" fontId="49" fillId="0" borderId="30" xfId="111" applyNumberFormat="1" applyFont="1" applyFill="1" applyBorder="1" applyAlignment="1">
      <alignment horizontal="left"/>
      <protection/>
    </xf>
    <xf numFmtId="49" fontId="49" fillId="0" borderId="51" xfId="121" applyNumberFormat="1" applyFont="1" applyFill="1" applyBorder="1" applyAlignment="1">
      <alignment horizontal="center"/>
      <protection/>
    </xf>
    <xf numFmtId="49" fontId="49" fillId="0" borderId="49" xfId="121" applyNumberFormat="1" applyFont="1" applyFill="1" applyBorder="1" applyAlignment="1">
      <alignment horizontal="center"/>
      <protection/>
    </xf>
    <xf numFmtId="49" fontId="49" fillId="0" borderId="52" xfId="121" applyNumberFormat="1" applyFont="1" applyFill="1" applyBorder="1" applyAlignment="1">
      <alignment horizontal="center"/>
      <protection/>
    </xf>
    <xf numFmtId="49" fontId="49" fillId="0" borderId="30" xfId="121" applyNumberFormat="1" applyFont="1" applyFill="1" applyBorder="1" applyAlignment="1">
      <alignment horizontal="center"/>
      <protection/>
    </xf>
    <xf numFmtId="49" fontId="49" fillId="0" borderId="34" xfId="121" applyNumberFormat="1" applyFont="1" applyFill="1" applyBorder="1" applyAlignment="1">
      <alignment horizontal="center"/>
      <protection/>
    </xf>
    <xf numFmtId="49" fontId="49" fillId="0" borderId="0" xfId="121" applyNumberFormat="1" applyFont="1" applyFill="1" applyBorder="1" applyAlignment="1">
      <alignment horizontal="center"/>
      <protection/>
    </xf>
    <xf numFmtId="49" fontId="58" fillId="0" borderId="31" xfId="121" applyNumberFormat="1" applyFont="1" applyFill="1" applyBorder="1" applyAlignment="1">
      <alignment horizontal="left"/>
      <protection/>
    </xf>
    <xf numFmtId="174" fontId="58" fillId="0" borderId="53" xfId="121" applyNumberFormat="1" applyFont="1" applyFill="1" applyBorder="1">
      <alignment/>
      <protection/>
    </xf>
    <xf numFmtId="174" fontId="58" fillId="0" borderId="54" xfId="121" applyNumberFormat="1" applyFont="1" applyFill="1" applyBorder="1">
      <alignment/>
      <protection/>
    </xf>
    <xf numFmtId="174" fontId="58" fillId="0" borderId="55" xfId="121" applyNumberFormat="1" applyFont="1" applyFill="1" applyBorder="1">
      <alignment/>
      <protection/>
    </xf>
    <xf numFmtId="174" fontId="58" fillId="0" borderId="32" xfId="121" applyNumberFormat="1" applyFont="1" applyFill="1" applyBorder="1">
      <alignment/>
      <protection/>
    </xf>
    <xf numFmtId="175" fontId="58" fillId="0" borderId="24" xfId="111" applyNumberFormat="1" applyFont="1" applyFill="1" applyBorder="1">
      <alignment/>
      <protection/>
    </xf>
    <xf numFmtId="49" fontId="0" fillId="0" borderId="32" xfId="121" applyNumberFormat="1" applyFont="1" applyFill="1" applyBorder="1" applyAlignment="1">
      <alignment horizontal="left"/>
      <protection/>
    </xf>
    <xf numFmtId="176" fontId="0" fillId="0" borderId="56" xfId="121" applyNumberFormat="1" applyFont="1" applyFill="1" applyBorder="1">
      <alignment/>
      <protection/>
    </xf>
    <xf numFmtId="176" fontId="0" fillId="0" borderId="21" xfId="121" applyNumberFormat="1" applyFont="1" applyFill="1" applyBorder="1">
      <alignment/>
      <protection/>
    </xf>
    <xf numFmtId="176" fontId="0" fillId="0" borderId="57" xfId="121" applyNumberFormat="1" applyFont="1" applyFill="1" applyBorder="1">
      <alignment/>
      <protection/>
    </xf>
    <xf numFmtId="176" fontId="0" fillId="0" borderId="32" xfId="121" applyNumberFormat="1" applyFont="1" applyFill="1" applyBorder="1">
      <alignment/>
      <protection/>
    </xf>
    <xf numFmtId="176" fontId="0" fillId="0" borderId="24" xfId="111" applyNumberFormat="1" applyFill="1" applyBorder="1">
      <alignment/>
      <protection/>
    </xf>
    <xf numFmtId="174" fontId="0" fillId="0" borderId="0" xfId="121" applyNumberFormat="1" applyFont="1" applyFill="1" applyBorder="1">
      <alignment/>
      <protection/>
    </xf>
    <xf numFmtId="49" fontId="0" fillId="0" borderId="32" xfId="111" applyNumberFormat="1" applyFill="1" applyBorder="1" applyAlignment="1">
      <alignment horizontal="left"/>
      <protection/>
    </xf>
    <xf numFmtId="176" fontId="58" fillId="0" borderId="56" xfId="121" applyNumberFormat="1" applyFont="1" applyFill="1" applyBorder="1">
      <alignment/>
      <protection/>
    </xf>
    <xf numFmtId="176" fontId="58" fillId="0" borderId="21" xfId="121" applyNumberFormat="1" applyFont="1" applyFill="1" applyBorder="1">
      <alignment/>
      <protection/>
    </xf>
    <xf numFmtId="176" fontId="58" fillId="0" borderId="57" xfId="121" applyNumberFormat="1" applyFont="1" applyFill="1" applyBorder="1">
      <alignment/>
      <protection/>
    </xf>
    <xf numFmtId="176" fontId="58" fillId="0" borderId="32" xfId="121" applyNumberFormat="1" applyFont="1" applyFill="1" applyBorder="1">
      <alignment/>
      <protection/>
    </xf>
    <xf numFmtId="176" fontId="58" fillId="0" borderId="24" xfId="111" applyNumberFormat="1" applyFont="1" applyFill="1" applyBorder="1">
      <alignment/>
      <protection/>
    </xf>
    <xf numFmtId="173" fontId="58" fillId="0" borderId="0" xfId="121" applyNumberFormat="1" applyFont="1" applyFill="1" applyBorder="1">
      <alignment/>
      <protection/>
    </xf>
    <xf numFmtId="173" fontId="0" fillId="0" borderId="56" xfId="121" applyNumberFormat="1" applyFont="1" applyFill="1" applyBorder="1">
      <alignment/>
      <protection/>
    </xf>
    <xf numFmtId="173" fontId="0" fillId="0" borderId="21" xfId="121" applyNumberFormat="1" applyFont="1" applyFill="1" applyBorder="1">
      <alignment/>
      <protection/>
    </xf>
    <xf numFmtId="173" fontId="0" fillId="0" borderId="57" xfId="121" applyNumberFormat="1" applyFont="1" applyFill="1" applyBorder="1">
      <alignment/>
      <protection/>
    </xf>
    <xf numFmtId="173" fontId="58" fillId="0" borderId="32" xfId="121" applyNumberFormat="1" applyFont="1" applyFill="1" applyBorder="1">
      <alignment/>
      <protection/>
    </xf>
    <xf numFmtId="177" fontId="0" fillId="0" borderId="0" xfId="121" applyNumberFormat="1" applyFont="1" applyFill="1" applyBorder="1">
      <alignment/>
      <protection/>
    </xf>
    <xf numFmtId="49" fontId="58" fillId="0" borderId="58" xfId="121" applyNumberFormat="1" applyFont="1" applyFill="1" applyBorder="1" applyAlignment="1">
      <alignment horizontal="left"/>
      <protection/>
    </xf>
    <xf numFmtId="174" fontId="0" fillId="0" borderId="59" xfId="121" applyNumberFormat="1" applyFont="1" applyFill="1" applyBorder="1">
      <alignment/>
      <protection/>
    </xf>
    <xf numFmtId="174" fontId="0" fillId="0" borderId="20" xfId="121" applyNumberFormat="1" applyFont="1" applyFill="1" applyBorder="1">
      <alignment/>
      <protection/>
    </xf>
    <xf numFmtId="174" fontId="0" fillId="0" borderId="60" xfId="121" applyNumberFormat="1" applyFont="1" applyFill="1" applyBorder="1">
      <alignment/>
      <protection/>
    </xf>
    <xf numFmtId="174" fontId="0" fillId="0" borderId="58" xfId="121" applyNumberFormat="1" applyFont="1" applyFill="1" applyBorder="1">
      <alignment/>
      <protection/>
    </xf>
    <xf numFmtId="175" fontId="58" fillId="0" borderId="61" xfId="111" applyNumberFormat="1" applyFont="1" applyFill="1" applyBorder="1">
      <alignment/>
      <protection/>
    </xf>
    <xf numFmtId="173" fontId="0" fillId="0" borderId="32" xfId="121" applyNumberFormat="1" applyFont="1" applyFill="1" applyBorder="1">
      <alignment/>
      <protection/>
    </xf>
    <xf numFmtId="173" fontId="58" fillId="0" borderId="24" xfId="111" applyNumberFormat="1" applyFont="1" applyFill="1" applyBorder="1">
      <alignment/>
      <protection/>
    </xf>
    <xf numFmtId="173" fontId="0" fillId="0" borderId="0" xfId="121" applyNumberFormat="1" applyFont="1" applyFill="1" applyBorder="1">
      <alignment/>
      <protection/>
    </xf>
    <xf numFmtId="49" fontId="0" fillId="0" borderId="28" xfId="121" applyNumberFormat="1" applyFont="1" applyFill="1" applyBorder="1" applyAlignment="1">
      <alignment horizontal="left"/>
      <protection/>
    </xf>
    <xf numFmtId="173" fontId="0" fillId="0" borderId="62" xfId="121" applyNumberFormat="1" applyFont="1" applyFill="1" applyBorder="1">
      <alignment/>
      <protection/>
    </xf>
    <xf numFmtId="173" fontId="0" fillId="0" borderId="50" xfId="121" applyNumberFormat="1" applyFont="1" applyFill="1" applyBorder="1">
      <alignment/>
      <protection/>
    </xf>
    <xf numFmtId="173" fontId="0" fillId="0" borderId="63" xfId="121" applyNumberFormat="1" applyFont="1" applyFill="1" applyBorder="1">
      <alignment/>
      <protection/>
    </xf>
    <xf numFmtId="49" fontId="58" fillId="0" borderId="32" xfId="121" applyNumberFormat="1" applyFont="1" applyFill="1" applyBorder="1" applyAlignment="1">
      <alignment horizontal="left"/>
      <protection/>
    </xf>
    <xf numFmtId="174" fontId="0" fillId="0" borderId="53" xfId="121" applyNumberFormat="1" applyFont="1" applyFill="1" applyBorder="1">
      <alignment/>
      <protection/>
    </xf>
    <xf numFmtId="174" fontId="0" fillId="0" borderId="54" xfId="121" applyNumberFormat="1" applyFont="1" applyFill="1" applyBorder="1">
      <alignment/>
      <protection/>
    </xf>
    <xf numFmtId="174" fontId="0" fillId="0" borderId="55" xfId="121" applyNumberFormat="1" applyFont="1" applyFill="1" applyBorder="1">
      <alignment/>
      <protection/>
    </xf>
    <xf numFmtId="174" fontId="0" fillId="0" borderId="36" xfId="121" applyNumberFormat="1" applyFont="1" applyFill="1" applyBorder="1">
      <alignment/>
      <protection/>
    </xf>
    <xf numFmtId="174" fontId="0" fillId="0" borderId="31" xfId="121" applyNumberFormat="1" applyFont="1" applyFill="1" applyBorder="1">
      <alignment/>
      <protection/>
    </xf>
    <xf numFmtId="176" fontId="0" fillId="0" borderId="35" xfId="121" applyNumberFormat="1" applyFont="1" applyFill="1" applyBorder="1">
      <alignment/>
      <protection/>
    </xf>
    <xf numFmtId="176" fontId="58" fillId="0" borderId="35" xfId="121" applyNumberFormat="1" applyFont="1" applyFill="1" applyBorder="1">
      <alignment/>
      <protection/>
    </xf>
    <xf numFmtId="176" fontId="58" fillId="0" borderId="24" xfId="121" applyNumberFormat="1" applyFont="1" applyFill="1" applyBorder="1">
      <alignment/>
      <protection/>
    </xf>
    <xf numFmtId="173" fontId="58" fillId="0" borderId="62" xfId="121" applyNumberFormat="1" applyFont="1" applyFill="1" applyBorder="1">
      <alignment/>
      <protection/>
    </xf>
    <xf numFmtId="173" fontId="58" fillId="0" borderId="50" xfId="121" applyNumberFormat="1" applyFont="1" applyFill="1" applyBorder="1">
      <alignment/>
      <protection/>
    </xf>
    <xf numFmtId="173" fontId="58" fillId="0" borderId="63" xfId="121" applyNumberFormat="1" applyFont="1" applyFill="1" applyBorder="1">
      <alignment/>
      <protection/>
    </xf>
    <xf numFmtId="173" fontId="58" fillId="0" borderId="37" xfId="121" applyNumberFormat="1" applyFont="1" applyFill="1" applyBorder="1">
      <alignment/>
      <protection/>
    </xf>
    <xf numFmtId="173" fontId="58" fillId="0" borderId="64" xfId="121" applyNumberFormat="1" applyFont="1" applyFill="1" applyBorder="1">
      <alignment/>
      <protection/>
    </xf>
    <xf numFmtId="173" fontId="58" fillId="0" borderId="28" xfId="121" applyNumberFormat="1" applyFont="1" applyFill="1" applyBorder="1">
      <alignment/>
      <protection/>
    </xf>
    <xf numFmtId="174" fontId="0" fillId="0" borderId="35" xfId="121" applyNumberFormat="1" applyFont="1" applyFill="1" applyBorder="1">
      <alignment/>
      <protection/>
    </xf>
    <xf numFmtId="174" fontId="0" fillId="0" borderId="32" xfId="121" applyNumberFormat="1" applyFont="1" applyFill="1" applyBorder="1">
      <alignment/>
      <protection/>
    </xf>
    <xf numFmtId="0" fontId="4" fillId="0" borderId="0" xfId="109">
      <alignment/>
      <protection/>
    </xf>
    <xf numFmtId="0" fontId="18" fillId="0" borderId="0" xfId="109" applyFont="1" applyAlignment="1">
      <alignment horizontal="right"/>
      <protection/>
    </xf>
    <xf numFmtId="0" fontId="18" fillId="0" borderId="0" xfId="109" applyFont="1" applyFill="1" applyAlignment="1">
      <alignment horizontal="right"/>
      <protection/>
    </xf>
    <xf numFmtId="0" fontId="53" fillId="0" borderId="0" xfId="109" applyFont="1" applyAlignment="1">
      <alignment horizontal="centerContinuous"/>
      <protection/>
    </xf>
    <xf numFmtId="0" fontId="59" fillId="0" borderId="0" xfId="109" applyFont="1" applyAlignment="1">
      <alignment horizontal="centerContinuous"/>
      <protection/>
    </xf>
    <xf numFmtId="0" fontId="59" fillId="0" borderId="0" xfId="109" applyFont="1" applyFill="1" applyAlignment="1">
      <alignment horizontal="centerContinuous"/>
      <protection/>
    </xf>
    <xf numFmtId="0" fontId="4" fillId="0" borderId="0" xfId="109" applyAlignment="1">
      <alignment horizontal="centerContinuous"/>
      <protection/>
    </xf>
    <xf numFmtId="0" fontId="60" fillId="0" borderId="0" xfId="109" applyFont="1" applyAlignment="1">
      <alignment horizontal="centerContinuous"/>
      <protection/>
    </xf>
    <xf numFmtId="0" fontId="4" fillId="0" borderId="0" xfId="109" applyFill="1" applyAlignment="1">
      <alignment horizontal="centerContinuous"/>
      <protection/>
    </xf>
    <xf numFmtId="0" fontId="18" fillId="0" borderId="0" xfId="109" applyFont="1">
      <alignment/>
      <protection/>
    </xf>
    <xf numFmtId="0" fontId="18" fillId="0" borderId="0" xfId="109" applyFont="1" applyAlignment="1">
      <alignment horizontal="right"/>
      <protection/>
    </xf>
    <xf numFmtId="0" fontId="18" fillId="0" borderId="0" xfId="109" applyFont="1" applyFill="1" applyAlignment="1">
      <alignment horizontal="right"/>
      <protection/>
    </xf>
    <xf numFmtId="0" fontId="48" fillId="0" borderId="0" xfId="109" applyFont="1" applyAlignment="1">
      <alignment horizontal="right"/>
      <protection/>
    </xf>
    <xf numFmtId="0" fontId="54" fillId="0" borderId="31" xfId="109" applyFont="1" applyBorder="1" applyAlignment="1">
      <alignment horizontal="center"/>
      <protection/>
    </xf>
    <xf numFmtId="0" fontId="54" fillId="0" borderId="65" xfId="109" applyFont="1" applyBorder="1" applyAlignment="1">
      <alignment horizontal="centerContinuous"/>
      <protection/>
    </xf>
    <xf numFmtId="0" fontId="54" fillId="0" borderId="43" xfId="109" applyFont="1" applyBorder="1" applyAlignment="1">
      <alignment horizontal="centerContinuous"/>
      <protection/>
    </xf>
    <xf numFmtId="0" fontId="54" fillId="0" borderId="44" xfId="109" applyFont="1" applyBorder="1" applyAlignment="1">
      <alignment horizontal="centerContinuous"/>
      <protection/>
    </xf>
    <xf numFmtId="0" fontId="54" fillId="0" borderId="36" xfId="109" applyFont="1" applyBorder="1" applyAlignment="1">
      <alignment horizontal="center"/>
      <protection/>
    </xf>
    <xf numFmtId="0" fontId="54" fillId="0" borderId="36" xfId="109" applyFont="1" applyFill="1" applyBorder="1" applyAlignment="1">
      <alignment horizontal="center"/>
      <protection/>
    </xf>
    <xf numFmtId="0" fontId="54" fillId="0" borderId="66" xfId="109" applyFont="1" applyBorder="1" applyAlignment="1">
      <alignment horizontal="center"/>
      <protection/>
    </xf>
    <xf numFmtId="0" fontId="54" fillId="0" borderId="56" xfId="109" applyFont="1" applyBorder="1" applyAlignment="1">
      <alignment horizontal="center"/>
      <protection/>
    </xf>
    <xf numFmtId="0" fontId="54" fillId="0" borderId="24" xfId="109" applyFont="1" applyBorder="1">
      <alignment/>
      <protection/>
    </xf>
    <xf numFmtId="0" fontId="54" fillId="0" borderId="20" xfId="109" applyFont="1" applyBorder="1" applyAlignment="1">
      <alignment horizontal="center"/>
      <protection/>
    </xf>
    <xf numFmtId="0" fontId="54" fillId="0" borderId="35" xfId="109" applyFont="1" applyBorder="1" applyAlignment="1">
      <alignment/>
      <protection/>
    </xf>
    <xf numFmtId="0" fontId="54" fillId="0" borderId="35" xfId="109" applyFont="1" applyBorder="1">
      <alignment/>
      <protection/>
    </xf>
    <xf numFmtId="0" fontId="54" fillId="0" borderId="35" xfId="109" applyFont="1" applyBorder="1" applyAlignment="1">
      <alignment horizontal="center"/>
      <protection/>
    </xf>
    <xf numFmtId="0" fontId="54" fillId="0" borderId="35" xfId="109" applyFont="1" applyFill="1" applyBorder="1" applyAlignment="1">
      <alignment horizontal="center"/>
      <protection/>
    </xf>
    <xf numFmtId="0" fontId="4" fillId="0" borderId="32" xfId="109" applyBorder="1" applyAlignment="1">
      <alignment horizontal="center"/>
      <protection/>
    </xf>
    <xf numFmtId="0" fontId="54" fillId="0" borderId="56" xfId="109" applyFont="1" applyBorder="1">
      <alignment/>
      <protection/>
    </xf>
    <xf numFmtId="0" fontId="54" fillId="0" borderId="35" xfId="109" applyFont="1" applyBorder="1" applyAlignment="1">
      <alignment horizontal="left"/>
      <protection/>
    </xf>
    <xf numFmtId="0" fontId="54" fillId="0" borderId="32" xfId="109" applyFont="1" applyBorder="1">
      <alignment/>
      <protection/>
    </xf>
    <xf numFmtId="0" fontId="54" fillId="0" borderId="35" xfId="109" applyFont="1" applyBorder="1" applyAlignment="1">
      <alignment horizontal="center"/>
      <protection/>
    </xf>
    <xf numFmtId="0" fontId="48" fillId="0" borderId="35" xfId="109" applyFont="1" applyBorder="1" applyAlignment="1">
      <alignment horizontal="center"/>
      <protection/>
    </xf>
    <xf numFmtId="0" fontId="54" fillId="0" borderId="62" xfId="109" applyFont="1" applyBorder="1">
      <alignment/>
      <protection/>
    </xf>
    <xf numFmtId="0" fontId="54" fillId="0" borderId="64" xfId="109" applyFont="1" applyBorder="1">
      <alignment/>
      <protection/>
    </xf>
    <xf numFmtId="0" fontId="54" fillId="0" borderId="37" xfId="109" applyFont="1" applyBorder="1" applyAlignment="1">
      <alignment horizontal="left"/>
      <protection/>
    </xf>
    <xf numFmtId="0" fontId="54" fillId="0" borderId="37" xfId="109" applyFont="1" applyBorder="1">
      <alignment/>
      <protection/>
    </xf>
    <xf numFmtId="49" fontId="54" fillId="0" borderId="35" xfId="109" applyNumberFormat="1" applyFont="1" applyFill="1" applyBorder="1" applyAlignment="1">
      <alignment horizontal="center"/>
      <protection/>
    </xf>
    <xf numFmtId="49" fontId="54" fillId="0" borderId="37" xfId="109" applyNumberFormat="1" applyFont="1" applyBorder="1" applyAlignment="1">
      <alignment horizontal="center"/>
      <protection/>
    </xf>
    <xf numFmtId="0" fontId="4" fillId="0" borderId="37" xfId="109" applyFont="1" applyBorder="1" applyAlignment="1">
      <alignment horizontal="center"/>
      <protection/>
    </xf>
    <xf numFmtId="0" fontId="4" fillId="0" borderId="30" xfId="109" applyBorder="1" applyAlignment="1">
      <alignment horizontal="center"/>
      <protection/>
    </xf>
    <xf numFmtId="0" fontId="48" fillId="0" borderId="51" xfId="109" applyFont="1" applyBorder="1" applyAlignment="1">
      <alignment horizontal="center"/>
      <protection/>
    </xf>
    <xf numFmtId="0" fontId="48" fillId="0" borderId="67" xfId="109" applyFont="1" applyBorder="1" applyAlignment="1">
      <alignment horizontal="center"/>
      <protection/>
    </xf>
    <xf numFmtId="0" fontId="48" fillId="0" borderId="34" xfId="109" applyFont="1" applyBorder="1" applyAlignment="1">
      <alignment horizontal="center"/>
      <protection/>
    </xf>
    <xf numFmtId="0" fontId="48" fillId="0" borderId="34" xfId="109" applyFont="1" applyFill="1" applyBorder="1" applyAlignment="1">
      <alignment horizontal="center"/>
      <protection/>
    </xf>
    <xf numFmtId="0" fontId="53" fillId="0" borderId="32" xfId="125" applyFont="1" applyBorder="1" applyAlignment="1">
      <alignment horizontal="center"/>
      <protection/>
    </xf>
    <xf numFmtId="49" fontId="53" fillId="0" borderId="56" xfId="125" applyNumberFormat="1" applyFont="1" applyBorder="1" applyAlignment="1">
      <alignment horizontal="center"/>
      <protection/>
    </xf>
    <xf numFmtId="49" fontId="53" fillId="0" borderId="24" xfId="125" applyNumberFormat="1" applyFont="1" applyBorder="1" applyAlignment="1">
      <alignment horizontal="center"/>
      <protection/>
    </xf>
    <xf numFmtId="49" fontId="53" fillId="0" borderId="24" xfId="125" applyNumberFormat="1" applyFont="1" applyBorder="1" applyAlignment="1">
      <alignment horizontal="center" vertical="top"/>
      <protection/>
    </xf>
    <xf numFmtId="0" fontId="60" fillId="0" borderId="35" xfId="125" applyFont="1" applyBorder="1" applyAlignment="1">
      <alignment horizontal="center"/>
      <protection/>
    </xf>
    <xf numFmtId="0" fontId="53" fillId="0" borderId="35" xfId="125" applyFont="1" applyBorder="1" applyAlignment="1">
      <alignment horizontal="left"/>
      <protection/>
    </xf>
    <xf numFmtId="164" fontId="53" fillId="0" borderId="35" xfId="125" applyNumberFormat="1" applyFont="1" applyBorder="1" applyAlignment="1">
      <alignment/>
      <protection/>
    </xf>
    <xf numFmtId="164" fontId="53" fillId="0" borderId="35" xfId="125" applyNumberFormat="1" applyFont="1" applyFill="1" applyBorder="1" applyAlignment="1">
      <alignment/>
      <protection/>
    </xf>
    <xf numFmtId="166" fontId="53" fillId="0" borderId="35" xfId="109" applyNumberFormat="1" applyFont="1" applyBorder="1" applyAlignment="1">
      <alignment/>
      <protection/>
    </xf>
    <xf numFmtId="0" fontId="16" fillId="0" borderId="32" xfId="125" applyFont="1" applyBorder="1" applyAlignment="1">
      <alignment horizontal="center"/>
      <protection/>
    </xf>
    <xf numFmtId="0" fontId="18" fillId="0" borderId="56" xfId="125" applyFont="1" applyBorder="1">
      <alignment/>
      <protection/>
    </xf>
    <xf numFmtId="49" fontId="16" fillId="0" borderId="24" xfId="125" applyNumberFormat="1" applyFont="1" applyBorder="1" applyAlignment="1">
      <alignment horizontal="center"/>
      <protection/>
    </xf>
    <xf numFmtId="49" fontId="16" fillId="0" borderId="35" xfId="125" applyNumberFormat="1" applyFont="1" applyBorder="1" applyAlignment="1">
      <alignment horizontal="left"/>
      <protection/>
    </xf>
    <xf numFmtId="0" fontId="16" fillId="0" borderId="35" xfId="125" applyFont="1" applyBorder="1" applyAlignment="1">
      <alignment/>
      <protection/>
    </xf>
    <xf numFmtId="164" fontId="16" fillId="0" borderId="35" xfId="109" applyNumberFormat="1" applyFont="1" applyBorder="1" applyAlignment="1">
      <alignment/>
      <protection/>
    </xf>
    <xf numFmtId="164" fontId="16" fillId="0" borderId="35" xfId="109" applyNumberFormat="1" applyFont="1" applyFill="1" applyBorder="1" applyAlignment="1">
      <alignment/>
      <protection/>
    </xf>
    <xf numFmtId="166" fontId="16" fillId="0" borderId="35" xfId="109" applyNumberFormat="1" applyFont="1" applyBorder="1" applyAlignment="1">
      <alignment/>
      <protection/>
    </xf>
    <xf numFmtId="0" fontId="61" fillId="0" borderId="32" xfId="125" applyFont="1" applyBorder="1" applyAlignment="1">
      <alignment horizontal="center"/>
      <protection/>
    </xf>
    <xf numFmtId="49" fontId="61" fillId="0" borderId="24" xfId="125" applyNumberFormat="1" applyFont="1" applyBorder="1" applyAlignment="1">
      <alignment horizontal="center"/>
      <protection/>
    </xf>
    <xf numFmtId="49" fontId="61" fillId="0" borderId="35" xfId="125" applyNumberFormat="1" applyFont="1" applyBorder="1" applyAlignment="1">
      <alignment horizontal="left"/>
      <protection/>
    </xf>
    <xf numFmtId="0" fontId="61" fillId="0" borderId="35" xfId="125" applyFont="1" applyBorder="1" applyAlignment="1">
      <alignment/>
      <protection/>
    </xf>
    <xf numFmtId="164" fontId="61" fillId="0" borderId="35" xfId="109" applyNumberFormat="1" applyFont="1" applyBorder="1" applyAlignment="1">
      <alignment/>
      <protection/>
    </xf>
    <xf numFmtId="164" fontId="61" fillId="0" borderId="35" xfId="109" applyNumberFormat="1" applyFont="1" applyFill="1" applyBorder="1" applyAlignment="1">
      <alignment/>
      <protection/>
    </xf>
    <xf numFmtId="166" fontId="61" fillId="0" borderId="35" xfId="109" applyNumberFormat="1" applyFont="1" applyBorder="1" applyAlignment="1">
      <alignment/>
      <protection/>
    </xf>
    <xf numFmtId="0" fontId="48" fillId="0" borderId="32" xfId="125" applyFont="1" applyBorder="1" applyAlignment="1">
      <alignment horizontal="center"/>
      <protection/>
    </xf>
    <xf numFmtId="0" fontId="48" fillId="0" borderId="56" xfId="109" applyFont="1" applyBorder="1">
      <alignment/>
      <protection/>
    </xf>
    <xf numFmtId="0" fontId="48" fillId="0" borderId="24" xfId="109" applyFont="1" applyBorder="1">
      <alignment/>
      <protection/>
    </xf>
    <xf numFmtId="0" fontId="48" fillId="0" borderId="24" xfId="109" applyFont="1" applyBorder="1" applyAlignment="1">
      <alignment horizontal="center"/>
      <protection/>
    </xf>
    <xf numFmtId="49" fontId="48" fillId="0" borderId="35" xfId="109" applyNumberFormat="1" applyFont="1" applyBorder="1" applyAlignment="1">
      <alignment horizontal="center"/>
      <protection/>
    </xf>
    <xf numFmtId="49" fontId="48" fillId="0" borderId="35" xfId="109" applyNumberFormat="1" applyFont="1" applyBorder="1" applyAlignment="1">
      <alignment/>
      <protection/>
    </xf>
    <xf numFmtId="164" fontId="48" fillId="0" borderId="35" xfId="109" applyNumberFormat="1" applyFont="1" applyBorder="1" applyAlignment="1">
      <alignment/>
      <protection/>
    </xf>
    <xf numFmtId="164" fontId="48" fillId="0" borderId="35" xfId="109" applyNumberFormat="1" applyFont="1" applyFill="1" applyBorder="1" applyAlignment="1">
      <alignment/>
      <protection/>
    </xf>
    <xf numFmtId="166" fontId="48" fillId="0" borderId="35" xfId="109" applyNumberFormat="1" applyFont="1" applyBorder="1" applyAlignment="1">
      <alignment/>
      <protection/>
    </xf>
    <xf numFmtId="0" fontId="48" fillId="0" borderId="56" xfId="125" applyFont="1" applyBorder="1">
      <alignment/>
      <protection/>
    </xf>
    <xf numFmtId="49" fontId="16" fillId="0" borderId="24" xfId="125" applyNumberFormat="1" applyFont="1" applyBorder="1" applyAlignment="1">
      <alignment horizontal="center"/>
      <protection/>
    </xf>
    <xf numFmtId="49" fontId="16" fillId="0" borderId="35" xfId="125" applyNumberFormat="1" applyFont="1" applyBorder="1" applyAlignment="1">
      <alignment horizontal="left"/>
      <protection/>
    </xf>
    <xf numFmtId="0" fontId="16" fillId="0" borderId="35" xfId="125" applyFont="1" applyBorder="1" applyAlignment="1">
      <alignment/>
      <protection/>
    </xf>
    <xf numFmtId="164" fontId="16" fillId="0" borderId="35" xfId="109" applyNumberFormat="1" applyFont="1" applyBorder="1" applyAlignment="1">
      <alignment/>
      <protection/>
    </xf>
    <xf numFmtId="164" fontId="16" fillId="0" borderId="35" xfId="109" applyNumberFormat="1" applyFont="1" applyFill="1" applyBorder="1" applyAlignment="1">
      <alignment/>
      <protection/>
    </xf>
    <xf numFmtId="49" fontId="61" fillId="0" borderId="24" xfId="109" applyNumberFormat="1" applyFont="1" applyBorder="1" applyAlignment="1">
      <alignment horizontal="center"/>
      <protection/>
    </xf>
    <xf numFmtId="49" fontId="61" fillId="0" borderId="35" xfId="109" applyNumberFormat="1" applyFont="1" applyBorder="1" applyAlignment="1">
      <alignment horizontal="left"/>
      <protection/>
    </xf>
    <xf numFmtId="49" fontId="61" fillId="0" borderId="35" xfId="109" applyNumberFormat="1" applyFont="1" applyBorder="1" applyAlignment="1">
      <alignment wrapText="1"/>
      <protection/>
    </xf>
    <xf numFmtId="0" fontId="48" fillId="0" borderId="35" xfId="109" applyFont="1" applyBorder="1" applyAlignment="1">
      <alignment/>
      <protection/>
    </xf>
    <xf numFmtId="164" fontId="48" fillId="0" borderId="35" xfId="109" applyNumberFormat="1" applyFont="1" applyBorder="1" applyAlignment="1">
      <alignment/>
      <protection/>
    </xf>
    <xf numFmtId="0" fontId="48" fillId="0" borderId="35" xfId="109" applyFont="1" applyBorder="1" applyAlignment="1">
      <alignment horizontal="left"/>
      <protection/>
    </xf>
    <xf numFmtId="49" fontId="61" fillId="0" borderId="35" xfId="109" applyNumberFormat="1" applyFont="1" applyBorder="1" applyAlignment="1">
      <alignment horizontal="center"/>
      <protection/>
    </xf>
    <xf numFmtId="0" fontId="61" fillId="0" borderId="35" xfId="109" applyFont="1" applyBorder="1" applyAlignment="1">
      <alignment horizontal="justify"/>
      <protection/>
    </xf>
    <xf numFmtId="49" fontId="16" fillId="0" borderId="24" xfId="125" applyNumberFormat="1" applyFont="1" applyFill="1" applyBorder="1" applyAlignment="1" applyProtection="1">
      <alignment horizontal="center"/>
      <protection locked="0"/>
    </xf>
    <xf numFmtId="49" fontId="16" fillId="0" borderId="35" xfId="125" applyNumberFormat="1" applyFont="1" applyBorder="1" applyAlignment="1">
      <alignment horizontal="center"/>
      <protection/>
    </xf>
    <xf numFmtId="164" fontId="16" fillId="0" borderId="35" xfId="125" applyNumberFormat="1" applyFont="1" applyBorder="1" applyAlignment="1">
      <alignment/>
      <protection/>
    </xf>
    <xf numFmtId="164" fontId="16" fillId="0" borderId="35" xfId="125" applyNumberFormat="1" applyFont="1" applyFill="1" applyBorder="1" applyAlignment="1">
      <alignment/>
      <protection/>
    </xf>
    <xf numFmtId="0" fontId="48" fillId="0" borderId="56" xfId="125" applyFont="1" applyBorder="1">
      <alignment/>
      <protection/>
    </xf>
    <xf numFmtId="49" fontId="48" fillId="0" borderId="24" xfId="125" applyNumberFormat="1" applyFont="1" applyFill="1" applyBorder="1" applyAlignment="1" applyProtection="1">
      <alignment horizontal="center"/>
      <protection locked="0"/>
    </xf>
    <xf numFmtId="49" fontId="61" fillId="0" borderId="35" xfId="125" applyNumberFormat="1" applyFont="1" applyBorder="1" applyAlignment="1">
      <alignment horizontal="center"/>
      <protection/>
    </xf>
    <xf numFmtId="164" fontId="61" fillId="0" borderId="35" xfId="125" applyNumberFormat="1" applyFont="1" applyBorder="1" applyAlignment="1">
      <alignment/>
      <protection/>
    </xf>
    <xf numFmtId="164" fontId="61" fillId="0" borderId="35" xfId="125" applyNumberFormat="1" applyFont="1" applyFill="1" applyBorder="1" applyAlignment="1">
      <alignment/>
      <protection/>
    </xf>
    <xf numFmtId="49" fontId="48" fillId="0" borderId="0" xfId="125" applyNumberFormat="1" applyFont="1" applyFill="1" applyBorder="1" applyAlignment="1" applyProtection="1">
      <alignment horizontal="center"/>
      <protection locked="0"/>
    </xf>
    <xf numFmtId="1" fontId="4" fillId="0" borderId="21" xfId="109" applyNumberFormat="1" applyFont="1" applyFill="1" applyBorder="1" applyAlignment="1">
      <alignment horizontal="left" vertical="top" wrapText="1"/>
      <protection/>
    </xf>
    <xf numFmtId="1" fontId="48" fillId="0" borderId="21" xfId="109" applyNumberFormat="1" applyFont="1" applyFill="1" applyBorder="1" applyAlignment="1">
      <alignment horizontal="center"/>
      <protection/>
    </xf>
    <xf numFmtId="0" fontId="48" fillId="0" borderId="32" xfId="109" applyFont="1" applyBorder="1" applyAlignment="1">
      <alignment/>
      <protection/>
    </xf>
    <xf numFmtId="164" fontId="48" fillId="0" borderId="35" xfId="125" applyNumberFormat="1" applyFont="1" applyBorder="1" applyAlignment="1">
      <alignment/>
      <protection/>
    </xf>
    <xf numFmtId="164" fontId="48" fillId="0" borderId="35" xfId="125" applyNumberFormat="1" applyFont="1" applyFill="1" applyBorder="1" applyAlignment="1">
      <alignment/>
      <protection/>
    </xf>
    <xf numFmtId="49" fontId="62" fillId="0" borderId="0" xfId="125" applyNumberFormat="1" applyFont="1" applyBorder="1" applyAlignment="1">
      <alignment horizontal="center"/>
      <protection/>
    </xf>
    <xf numFmtId="1" fontId="48" fillId="0" borderId="57" xfId="109" applyNumberFormat="1" applyFont="1" applyFill="1" applyBorder="1" applyAlignment="1">
      <alignment horizontal="center"/>
      <protection/>
    </xf>
    <xf numFmtId="49" fontId="48" fillId="0" borderId="32" xfId="109" applyNumberFormat="1" applyFont="1" applyBorder="1" applyAlignment="1">
      <alignment/>
      <protection/>
    </xf>
    <xf numFmtId="0" fontId="48" fillId="0" borderId="32" xfId="109" applyNumberFormat="1" applyFont="1" applyFill="1" applyBorder="1" applyAlignment="1">
      <alignment horizontal="left"/>
      <protection/>
    </xf>
    <xf numFmtId="49" fontId="48" fillId="0" borderId="24" xfId="125" applyNumberFormat="1" applyFont="1" applyBorder="1" applyAlignment="1">
      <alignment horizontal="center"/>
      <protection/>
    </xf>
    <xf numFmtId="49" fontId="48" fillId="0" borderId="35" xfId="125" applyNumberFormat="1" applyFont="1" applyBorder="1" applyAlignment="1">
      <alignment horizontal="center"/>
      <protection/>
    </xf>
    <xf numFmtId="0" fontId="48" fillId="0" borderId="35" xfId="125" applyFont="1" applyBorder="1" applyAlignment="1">
      <alignment/>
      <protection/>
    </xf>
    <xf numFmtId="164" fontId="48" fillId="0" borderId="35" xfId="109" applyNumberFormat="1" applyFont="1" applyFill="1" applyBorder="1" applyAlignment="1">
      <alignment/>
      <protection/>
    </xf>
    <xf numFmtId="49" fontId="48" fillId="0" borderId="35" xfId="109" applyNumberFormat="1" applyFont="1" applyBorder="1" applyAlignment="1">
      <alignment/>
      <protection/>
    </xf>
    <xf numFmtId="49" fontId="48" fillId="0" borderId="0" xfId="125" applyNumberFormat="1" applyFont="1" applyBorder="1" applyAlignment="1">
      <alignment horizontal="center"/>
      <protection/>
    </xf>
    <xf numFmtId="49" fontId="48" fillId="0" borderId="57" xfId="125" applyNumberFormat="1" applyFont="1" applyBorder="1" applyAlignment="1">
      <alignment horizontal="center"/>
      <protection/>
    </xf>
    <xf numFmtId="0" fontId="48" fillId="0" borderId="35" xfId="109" applyFont="1" applyBorder="1" applyAlignment="1">
      <alignment/>
      <protection/>
    </xf>
    <xf numFmtId="49" fontId="61" fillId="0" borderId="57" xfId="125" applyNumberFormat="1" applyFont="1" applyBorder="1" applyAlignment="1">
      <alignment horizontal="center"/>
      <protection/>
    </xf>
    <xf numFmtId="166" fontId="48" fillId="0" borderId="35" xfId="109" applyNumberFormat="1" applyFont="1" applyBorder="1" applyAlignment="1">
      <alignment/>
      <protection/>
    </xf>
    <xf numFmtId="49" fontId="61" fillId="0" borderId="0" xfId="125" applyNumberFormat="1" applyFont="1" applyBorder="1" applyAlignment="1">
      <alignment horizontal="center"/>
      <protection/>
    </xf>
    <xf numFmtId="0" fontId="48" fillId="0" borderId="35" xfId="109" applyFont="1" applyFill="1" applyBorder="1" applyAlignment="1">
      <alignment/>
      <protection/>
    </xf>
    <xf numFmtId="0" fontId="48" fillId="57" borderId="32" xfId="125" applyFont="1" applyFill="1" applyBorder="1" applyAlignment="1">
      <alignment horizontal="center"/>
      <protection/>
    </xf>
    <xf numFmtId="0" fontId="48" fillId="57" borderId="56" xfId="125" applyFont="1" applyFill="1" applyBorder="1">
      <alignment/>
      <protection/>
    </xf>
    <xf numFmtId="49" fontId="48" fillId="57" borderId="24" xfId="125" applyNumberFormat="1" applyFont="1" applyFill="1" applyBorder="1" applyAlignment="1" applyProtection="1">
      <alignment horizontal="center"/>
      <protection locked="0"/>
    </xf>
    <xf numFmtId="49" fontId="61" fillId="57" borderId="0" xfId="125" applyNumberFormat="1" applyFont="1" applyFill="1" applyBorder="1" applyAlignment="1">
      <alignment horizontal="center"/>
      <protection/>
    </xf>
    <xf numFmtId="1" fontId="48" fillId="57" borderId="57" xfId="109" applyNumberFormat="1" applyFont="1" applyFill="1" applyBorder="1" applyAlignment="1">
      <alignment horizontal="center"/>
      <protection/>
    </xf>
    <xf numFmtId="0" fontId="48" fillId="57" borderId="35" xfId="109" applyFont="1" applyFill="1" applyBorder="1" applyAlignment="1">
      <alignment/>
      <protection/>
    </xf>
    <xf numFmtId="164" fontId="48" fillId="57" borderId="35" xfId="125" applyNumberFormat="1" applyFont="1" applyFill="1" applyBorder="1" applyAlignment="1">
      <alignment/>
      <protection/>
    </xf>
    <xf numFmtId="166" fontId="48" fillId="57" borderId="35" xfId="109" applyNumberFormat="1" applyFont="1" applyFill="1" applyBorder="1" applyAlignment="1">
      <alignment/>
      <protection/>
    </xf>
    <xf numFmtId="0" fontId="4" fillId="57" borderId="0" xfId="109" applyFill="1">
      <alignment/>
      <protection/>
    </xf>
    <xf numFmtId="0" fontId="48" fillId="0" borderId="32" xfId="125" applyFont="1" applyFill="1" applyBorder="1" applyAlignment="1">
      <alignment horizontal="center"/>
      <protection/>
    </xf>
    <xf numFmtId="0" fontId="48" fillId="0" borderId="56" xfId="125" applyFont="1" applyFill="1" applyBorder="1">
      <alignment/>
      <protection/>
    </xf>
    <xf numFmtId="49" fontId="48" fillId="0" borderId="24" xfId="125" applyNumberFormat="1" applyFont="1" applyFill="1" applyBorder="1" applyAlignment="1">
      <alignment horizontal="center"/>
      <protection/>
    </xf>
    <xf numFmtId="49" fontId="48" fillId="0" borderId="35" xfId="125" applyNumberFormat="1" applyFont="1" applyFill="1" applyBorder="1" applyAlignment="1">
      <alignment horizontal="center"/>
      <protection/>
    </xf>
    <xf numFmtId="0" fontId="48" fillId="0" borderId="35" xfId="125" applyFont="1" applyFill="1" applyBorder="1" applyAlignment="1">
      <alignment/>
      <protection/>
    </xf>
    <xf numFmtId="0" fontId="4" fillId="0" borderId="0" xfId="109" applyFill="1">
      <alignment/>
      <protection/>
    </xf>
    <xf numFmtId="164" fontId="16" fillId="0" borderId="35" xfId="125" applyNumberFormat="1" applyFont="1" applyBorder="1" applyAlignment="1">
      <alignment/>
      <protection/>
    </xf>
    <xf numFmtId="164" fontId="16" fillId="0" borderId="35" xfId="125" applyNumberFormat="1" applyFont="1" applyFill="1" applyBorder="1" applyAlignment="1">
      <alignment/>
      <protection/>
    </xf>
    <xf numFmtId="0" fontId="4" fillId="0" borderId="28" xfId="109" applyBorder="1">
      <alignment/>
      <protection/>
    </xf>
    <xf numFmtId="0" fontId="4" fillId="0" borderId="62" xfId="109" applyBorder="1" applyAlignment="1">
      <alignment wrapText="1"/>
      <protection/>
    </xf>
    <xf numFmtId="0" fontId="4" fillId="0" borderId="64" xfId="109" applyBorder="1" applyAlignment="1">
      <alignment wrapText="1"/>
      <protection/>
    </xf>
    <xf numFmtId="0" fontId="63" fillId="0" borderId="37" xfId="109" applyFont="1" applyBorder="1" applyAlignment="1">
      <alignment horizontal="left" wrapText="1"/>
      <protection/>
    </xf>
    <xf numFmtId="0" fontId="63" fillId="0" borderId="37" xfId="109" applyFont="1" applyBorder="1" applyAlignment="1">
      <alignment wrapText="1"/>
      <protection/>
    </xf>
    <xf numFmtId="164" fontId="4" fillId="0" borderId="37" xfId="109" applyNumberFormat="1" applyBorder="1" applyAlignment="1">
      <alignment/>
      <protection/>
    </xf>
    <xf numFmtId="164" fontId="4" fillId="0" borderId="37" xfId="109" applyNumberFormat="1" applyFill="1" applyBorder="1" applyAlignment="1">
      <alignment/>
      <protection/>
    </xf>
    <xf numFmtId="166" fontId="61" fillId="0" borderId="28" xfId="109" applyNumberFormat="1" applyFont="1" applyBorder="1" applyAlignment="1">
      <alignment/>
      <protection/>
    </xf>
    <xf numFmtId="0" fontId="4" fillId="0" borderId="0" xfId="109" applyAlignment="1">
      <alignment wrapText="1"/>
      <protection/>
    </xf>
    <xf numFmtId="164" fontId="4" fillId="0" borderId="0" xfId="109" applyNumberFormat="1">
      <alignment/>
      <protection/>
    </xf>
    <xf numFmtId="49" fontId="54" fillId="0" borderId="35" xfId="109" applyNumberFormat="1" applyFont="1" applyBorder="1" applyAlignment="1">
      <alignment horizontal="center"/>
      <protection/>
    </xf>
    <xf numFmtId="164" fontId="53" fillId="0" borderId="35" xfId="125" applyNumberFormat="1" applyFont="1" applyBorder="1" applyAlignment="1">
      <alignment/>
      <protection/>
    </xf>
    <xf numFmtId="166" fontId="54" fillId="0" borderId="35" xfId="109" applyNumberFormat="1" applyFont="1" applyBorder="1" applyAlignment="1">
      <alignment/>
      <protection/>
    </xf>
    <xf numFmtId="49" fontId="16" fillId="0" borderId="56" xfId="125" applyNumberFormat="1" applyFont="1" applyBorder="1" applyAlignment="1">
      <alignment horizontal="center"/>
      <protection/>
    </xf>
    <xf numFmtId="49" fontId="16" fillId="0" borderId="24" xfId="125" applyNumberFormat="1" applyFont="1" applyBorder="1" applyAlignment="1">
      <alignment horizontal="center" vertical="top"/>
      <protection/>
    </xf>
    <xf numFmtId="0" fontId="18" fillId="0" borderId="35" xfId="125" applyFont="1" applyBorder="1" applyAlignment="1">
      <alignment horizontal="center"/>
      <protection/>
    </xf>
    <xf numFmtId="0" fontId="16" fillId="0" borderId="35" xfId="125" applyFont="1" applyBorder="1" applyAlignment="1">
      <alignment horizontal="left"/>
      <protection/>
    </xf>
    <xf numFmtId="0" fontId="62" fillId="0" borderId="56" xfId="125" applyFont="1" applyBorder="1">
      <alignment/>
      <protection/>
    </xf>
    <xf numFmtId="0" fontId="62" fillId="0" borderId="24" xfId="125" applyFont="1" applyBorder="1">
      <alignment/>
      <protection/>
    </xf>
    <xf numFmtId="0" fontId="61" fillId="0" borderId="35" xfId="109" applyFont="1" applyBorder="1" applyAlignment="1">
      <alignment wrapText="1"/>
      <protection/>
    </xf>
    <xf numFmtId="49" fontId="48" fillId="0" borderId="35" xfId="109" applyNumberFormat="1" applyFont="1" applyBorder="1" applyAlignment="1">
      <alignment horizontal="left"/>
      <protection/>
    </xf>
    <xf numFmtId="0" fontId="48" fillId="0" borderId="35" xfId="109" applyFont="1" applyBorder="1" applyAlignment="1">
      <alignment wrapText="1"/>
      <protection/>
    </xf>
    <xf numFmtId="0" fontId="4" fillId="0" borderId="56" xfId="125" applyBorder="1">
      <alignment/>
      <protection/>
    </xf>
    <xf numFmtId="0" fontId="4" fillId="0" borderId="24" xfId="125" applyBorder="1">
      <alignment/>
      <protection/>
    </xf>
    <xf numFmtId="49" fontId="48" fillId="0" borderId="35" xfId="109" applyNumberFormat="1" applyFont="1" applyBorder="1" applyAlignment="1">
      <alignment horizontal="left"/>
      <protection/>
    </xf>
    <xf numFmtId="0" fontId="48" fillId="0" borderId="24" xfId="125" applyFont="1" applyBorder="1">
      <alignment/>
      <protection/>
    </xf>
    <xf numFmtId="0" fontId="48" fillId="0" borderId="35" xfId="109" applyFont="1" applyBorder="1" applyAlignment="1">
      <alignment wrapText="1"/>
      <protection/>
    </xf>
    <xf numFmtId="49" fontId="48" fillId="0" borderId="35" xfId="109" applyNumberFormat="1" applyFont="1" applyBorder="1" applyAlignment="1">
      <alignment wrapText="1"/>
      <protection/>
    </xf>
    <xf numFmtId="0" fontId="48" fillId="0" borderId="24" xfId="125" applyFont="1" applyBorder="1">
      <alignment/>
      <protection/>
    </xf>
    <xf numFmtId="0" fontId="48" fillId="0" borderId="24" xfId="109" applyFont="1" applyBorder="1" applyAlignment="1">
      <alignment horizontal="center"/>
      <protection/>
    </xf>
    <xf numFmtId="49" fontId="48" fillId="0" borderId="35" xfId="109" applyNumberFormat="1" applyFont="1" applyBorder="1" applyAlignment="1">
      <alignment horizontal="center"/>
      <protection/>
    </xf>
    <xf numFmtId="49" fontId="48" fillId="0" borderId="35" xfId="109" applyNumberFormat="1" applyFont="1" applyBorder="1" applyAlignment="1">
      <alignment wrapText="1"/>
      <protection/>
    </xf>
    <xf numFmtId="49" fontId="61" fillId="0" borderId="35" xfId="109" applyNumberFormat="1" applyFont="1" applyBorder="1" applyAlignment="1">
      <alignment/>
      <protection/>
    </xf>
    <xf numFmtId="0" fontId="61" fillId="0" borderId="35" xfId="109" applyFont="1" applyBorder="1" applyAlignment="1">
      <alignment/>
      <protection/>
    </xf>
    <xf numFmtId="0" fontId="0" fillId="0" borderId="0" xfId="111" applyBorder="1">
      <alignment/>
      <protection/>
    </xf>
    <xf numFmtId="0" fontId="0" fillId="0" borderId="0" xfId="111" applyBorder="1" applyAlignment="1">
      <alignment horizontal="right"/>
      <protection/>
    </xf>
    <xf numFmtId="0" fontId="0" fillId="0" borderId="0" xfId="111">
      <alignment/>
      <protection/>
    </xf>
    <xf numFmtId="0" fontId="53" fillId="0" borderId="0" xfId="111" applyFont="1" applyBorder="1" applyAlignment="1">
      <alignment horizontal="centerContinuous"/>
      <protection/>
    </xf>
    <xf numFmtId="0" fontId="0" fillId="0" borderId="0" xfId="111" applyBorder="1" applyAlignment="1">
      <alignment horizontal="centerContinuous"/>
      <protection/>
    </xf>
    <xf numFmtId="0" fontId="49" fillId="0" borderId="31" xfId="111" applyFont="1" applyBorder="1" applyAlignment="1">
      <alignment horizontal="center"/>
      <protection/>
    </xf>
    <xf numFmtId="0" fontId="49" fillId="0" borderId="28" xfId="111" applyFont="1" applyBorder="1" applyAlignment="1">
      <alignment horizontal="center"/>
      <protection/>
    </xf>
    <xf numFmtId="0" fontId="5" fillId="0" borderId="31" xfId="111" applyFont="1" applyBorder="1">
      <alignment/>
      <protection/>
    </xf>
    <xf numFmtId="0" fontId="5" fillId="0" borderId="32" xfId="111" applyFont="1" applyBorder="1" applyAlignment="1">
      <alignment horizontal="center"/>
      <protection/>
    </xf>
    <xf numFmtId="14" fontId="5" fillId="0" borderId="32" xfId="111" applyNumberFormat="1" applyFont="1" applyBorder="1">
      <alignment/>
      <protection/>
    </xf>
    <xf numFmtId="0" fontId="5" fillId="0" borderId="32" xfId="111" applyFont="1" applyBorder="1">
      <alignment/>
      <protection/>
    </xf>
    <xf numFmtId="178" fontId="5" fillId="0" borderId="32" xfId="111" applyNumberFormat="1" applyFont="1" applyBorder="1">
      <alignment/>
      <protection/>
    </xf>
    <xf numFmtId="0" fontId="0" fillId="0" borderId="66" xfId="111" applyFont="1" applyBorder="1" applyAlignment="1">
      <alignment horizontal="right"/>
      <protection/>
    </xf>
    <xf numFmtId="0" fontId="64" fillId="0" borderId="66" xfId="111" applyFont="1" applyBorder="1">
      <alignment/>
      <protection/>
    </xf>
    <xf numFmtId="0" fontId="64" fillId="0" borderId="66" xfId="111" applyFont="1" applyBorder="1" applyAlignment="1">
      <alignment horizontal="center"/>
      <protection/>
    </xf>
    <xf numFmtId="178" fontId="64" fillId="0" borderId="66" xfId="111" applyNumberFormat="1" applyFont="1" applyBorder="1">
      <alignment/>
      <protection/>
    </xf>
    <xf numFmtId="0" fontId="65" fillId="0" borderId="0" xfId="111" applyFont="1">
      <alignment/>
      <protection/>
    </xf>
    <xf numFmtId="49" fontId="5" fillId="0" borderId="32" xfId="111" applyNumberFormat="1" applyFont="1" applyBorder="1" applyAlignment="1">
      <alignment horizontal="center"/>
      <protection/>
    </xf>
    <xf numFmtId="49" fontId="64" fillId="0" borderId="66" xfId="111" applyNumberFormat="1" applyFont="1" applyBorder="1" applyAlignment="1">
      <alignment horizontal="center"/>
      <protection/>
    </xf>
    <xf numFmtId="0" fontId="0" fillId="0" borderId="32" xfId="111" applyFont="1" applyBorder="1" applyAlignment="1">
      <alignment horizontal="right"/>
      <protection/>
    </xf>
    <xf numFmtId="0" fontId="64" fillId="0" borderId="32" xfId="111" applyFont="1" applyBorder="1">
      <alignment/>
      <protection/>
    </xf>
    <xf numFmtId="0" fontId="64" fillId="0" borderId="32" xfId="111" applyFont="1" applyBorder="1" applyAlignment="1">
      <alignment horizontal="center"/>
      <protection/>
    </xf>
    <xf numFmtId="178" fontId="64" fillId="0" borderId="32" xfId="111" applyNumberFormat="1" applyFont="1" applyBorder="1">
      <alignment/>
      <protection/>
    </xf>
    <xf numFmtId="0" fontId="5" fillId="0" borderId="68" xfId="111" applyFont="1" applyBorder="1">
      <alignment/>
      <protection/>
    </xf>
    <xf numFmtId="0" fontId="5" fillId="0" borderId="68" xfId="111" applyFont="1" applyBorder="1" applyAlignment="1">
      <alignment horizontal="center"/>
      <protection/>
    </xf>
    <xf numFmtId="178" fontId="5" fillId="0" borderId="68" xfId="111" applyNumberFormat="1" applyFont="1" applyBorder="1">
      <alignment/>
      <protection/>
    </xf>
    <xf numFmtId="0" fontId="5" fillId="0" borderId="58" xfId="111" applyFont="1" applyBorder="1">
      <alignment/>
      <protection/>
    </xf>
    <xf numFmtId="0" fontId="5" fillId="0" borderId="58" xfId="111" applyFont="1" applyBorder="1" applyAlignment="1">
      <alignment horizontal="center"/>
      <protection/>
    </xf>
    <xf numFmtId="178" fontId="5" fillId="0" borderId="58" xfId="111" applyNumberFormat="1" applyFont="1" applyBorder="1">
      <alignment/>
      <protection/>
    </xf>
    <xf numFmtId="0" fontId="5" fillId="0" borderId="68" xfId="111" applyFont="1" applyBorder="1" applyAlignment="1">
      <alignment horizontal="right"/>
      <protection/>
    </xf>
    <xf numFmtId="0" fontId="64" fillId="0" borderId="68" xfId="111" applyFont="1" applyBorder="1">
      <alignment/>
      <protection/>
    </xf>
    <xf numFmtId="0" fontId="64" fillId="0" borderId="68" xfId="111" applyFont="1" applyBorder="1" applyAlignment="1">
      <alignment horizontal="center"/>
      <protection/>
    </xf>
    <xf numFmtId="178" fontId="64" fillId="0" borderId="68" xfId="111" applyNumberFormat="1" applyFont="1" applyBorder="1">
      <alignment/>
      <protection/>
    </xf>
    <xf numFmtId="0" fontId="5" fillId="0" borderId="32" xfId="130" applyFont="1" applyBorder="1" applyAlignment="1">
      <alignment horizontal="center"/>
      <protection/>
    </xf>
    <xf numFmtId="14" fontId="5" fillId="0" borderId="32" xfId="130" applyNumberFormat="1" applyFont="1" applyBorder="1" applyAlignment="1">
      <alignment horizontal="right"/>
      <protection/>
    </xf>
    <xf numFmtId="0" fontId="5" fillId="0" borderId="32" xfId="130" applyFont="1" applyBorder="1">
      <alignment/>
      <protection/>
    </xf>
    <xf numFmtId="178" fontId="5" fillId="0" borderId="32" xfId="130" applyNumberFormat="1" applyFont="1" applyBorder="1" applyAlignment="1">
      <alignment horizontal="right"/>
      <protection/>
    </xf>
    <xf numFmtId="0" fontId="5" fillId="0" borderId="66" xfId="111" applyFont="1" applyBorder="1" applyAlignment="1">
      <alignment horizontal="right"/>
      <protection/>
    </xf>
    <xf numFmtId="0" fontId="5" fillId="0" borderId="69" xfId="111" applyFont="1" applyBorder="1" applyAlignment="1">
      <alignment horizontal="right"/>
      <protection/>
    </xf>
    <xf numFmtId="0" fontId="64" fillId="0" borderId="69" xfId="111" applyFont="1" applyBorder="1">
      <alignment/>
      <protection/>
    </xf>
    <xf numFmtId="0" fontId="64" fillId="0" borderId="69" xfId="111" applyFont="1" applyBorder="1" applyAlignment="1">
      <alignment horizontal="center"/>
      <protection/>
    </xf>
    <xf numFmtId="166" fontId="64" fillId="0" borderId="69" xfId="111" applyNumberFormat="1" applyFont="1" applyBorder="1">
      <alignment/>
      <protection/>
    </xf>
    <xf numFmtId="0" fontId="0" fillId="0" borderId="68" xfId="111" applyBorder="1">
      <alignment/>
      <protection/>
    </xf>
    <xf numFmtId="14" fontId="5" fillId="0" borderId="32" xfId="111" applyNumberFormat="1" applyFont="1" applyBorder="1" applyAlignment="1">
      <alignment horizontal="center"/>
      <protection/>
    </xf>
    <xf numFmtId="164" fontId="5" fillId="0" borderId="32" xfId="111" applyNumberFormat="1" applyFont="1" applyBorder="1" applyAlignment="1">
      <alignment horizontal="right"/>
      <protection/>
    </xf>
    <xf numFmtId="4" fontId="0" fillId="0" borderId="0" xfId="111" applyNumberFormat="1" applyAlignment="1">
      <alignment horizontal="right"/>
      <protection/>
    </xf>
    <xf numFmtId="14" fontId="5" fillId="0" borderId="32" xfId="111" applyNumberFormat="1" applyFont="1" applyBorder="1" applyAlignment="1">
      <alignment horizontal="right"/>
      <protection/>
    </xf>
    <xf numFmtId="0" fontId="5" fillId="0" borderId="32" xfId="111" applyFont="1" applyBorder="1" applyAlignment="1">
      <alignment horizontal="right"/>
      <protection/>
    </xf>
    <xf numFmtId="166" fontId="64" fillId="0" borderId="66" xfId="111" applyNumberFormat="1" applyFont="1" applyBorder="1">
      <alignment/>
      <protection/>
    </xf>
    <xf numFmtId="0" fontId="0" fillId="0" borderId="58" xfId="111" applyBorder="1">
      <alignment/>
      <protection/>
    </xf>
    <xf numFmtId="0" fontId="64" fillId="0" borderId="32" xfId="111" applyFont="1" applyFill="1" applyBorder="1">
      <alignment/>
      <protection/>
    </xf>
    <xf numFmtId="14" fontId="64" fillId="0" borderId="32" xfId="111" applyNumberFormat="1" applyFont="1" applyFill="1" applyBorder="1" applyAlignment="1">
      <alignment horizontal="right"/>
      <protection/>
    </xf>
    <xf numFmtId="0" fontId="64" fillId="0" borderId="32" xfId="111" applyFont="1" applyFill="1" applyBorder="1" applyAlignment="1">
      <alignment horizontal="center"/>
      <protection/>
    </xf>
    <xf numFmtId="164" fontId="64" fillId="0" borderId="32" xfId="111" applyNumberFormat="1" applyFont="1" applyFill="1" applyBorder="1" applyAlignment="1">
      <alignment horizontal="right"/>
      <protection/>
    </xf>
    <xf numFmtId="0" fontId="65" fillId="0" borderId="0" xfId="111" applyFont="1" applyFill="1">
      <alignment/>
      <protection/>
    </xf>
    <xf numFmtId="0" fontId="65" fillId="0" borderId="0" xfId="111" applyFont="1" applyFill="1" applyBorder="1">
      <alignment/>
      <protection/>
    </xf>
    <xf numFmtId="0" fontId="5" fillId="0" borderId="28" xfId="111" applyFont="1" applyBorder="1" applyAlignment="1">
      <alignment horizontal="right"/>
      <protection/>
    </xf>
    <xf numFmtId="0" fontId="0" fillId="0" borderId="28" xfId="111" applyBorder="1">
      <alignment/>
      <protection/>
    </xf>
    <xf numFmtId="0" fontId="0" fillId="0" borderId="28" xfId="111" applyBorder="1" applyAlignment="1">
      <alignment horizontal="center"/>
      <protection/>
    </xf>
    <xf numFmtId="164" fontId="0" fillId="0" borderId="28" xfId="111" applyNumberFormat="1" applyBorder="1">
      <alignment/>
      <protection/>
    </xf>
    <xf numFmtId="164" fontId="5" fillId="0" borderId="32" xfId="111" applyNumberFormat="1" applyFont="1" applyBorder="1">
      <alignment/>
      <protection/>
    </xf>
    <xf numFmtId="0" fontId="5" fillId="0" borderId="66" xfId="111" applyFont="1" applyBorder="1">
      <alignment/>
      <protection/>
    </xf>
    <xf numFmtId="0" fontId="49" fillId="0" borderId="66" xfId="111" applyFont="1" applyBorder="1" applyAlignment="1">
      <alignment horizontal="center"/>
      <protection/>
    </xf>
    <xf numFmtId="0" fontId="49" fillId="0" borderId="66" xfId="111" applyFont="1" applyBorder="1">
      <alignment/>
      <protection/>
    </xf>
    <xf numFmtId="164" fontId="49" fillId="0" borderId="66" xfId="111" applyNumberFormat="1" applyFont="1" applyBorder="1">
      <alignment/>
      <protection/>
    </xf>
    <xf numFmtId="0" fontId="0" fillId="0" borderId="32" xfId="111" applyBorder="1">
      <alignment/>
      <protection/>
    </xf>
    <xf numFmtId="0" fontId="0" fillId="0" borderId="32" xfId="111" applyBorder="1" applyAlignment="1">
      <alignment horizontal="center"/>
      <protection/>
    </xf>
    <xf numFmtId="0" fontId="41" fillId="0" borderId="58" xfId="111" applyFont="1" applyBorder="1">
      <alignment/>
      <protection/>
    </xf>
    <xf numFmtId="0" fontId="66" fillId="0" borderId="32" xfId="111" applyFont="1" applyBorder="1" applyAlignment="1">
      <alignment horizontal="center"/>
      <protection/>
    </xf>
    <xf numFmtId="49" fontId="64" fillId="0" borderId="32" xfId="111" applyNumberFormat="1" applyFont="1" applyFill="1" applyBorder="1" applyAlignment="1">
      <alignment horizontal="center"/>
      <protection/>
    </xf>
    <xf numFmtId="0" fontId="67" fillId="0" borderId="32" xfId="111" applyFont="1" applyFill="1" applyBorder="1" applyAlignment="1">
      <alignment horizontal="center"/>
      <protection/>
    </xf>
    <xf numFmtId="0" fontId="0" fillId="0" borderId="66" xfId="111" applyFont="1" applyBorder="1">
      <alignment/>
      <protection/>
    </xf>
    <xf numFmtId="0" fontId="0" fillId="0" borderId="66" xfId="111" applyFont="1" applyBorder="1" applyAlignment="1">
      <alignment horizontal="center"/>
      <protection/>
    </xf>
    <xf numFmtId="0" fontId="41" fillId="0" borderId="66" xfId="111" applyFont="1" applyBorder="1" applyAlignment="1">
      <alignment horizontal="center"/>
      <protection/>
    </xf>
    <xf numFmtId="164" fontId="0" fillId="0" borderId="66" xfId="111" applyNumberFormat="1" applyFont="1" applyBorder="1">
      <alignment/>
      <protection/>
    </xf>
    <xf numFmtId="0" fontId="64" fillId="0" borderId="32" xfId="130" applyFont="1" applyBorder="1" applyAlignment="1">
      <alignment horizontal="center"/>
      <protection/>
    </xf>
    <xf numFmtId="14" fontId="64" fillId="0" borderId="32" xfId="130" applyNumberFormat="1" applyFont="1" applyBorder="1" applyAlignment="1">
      <alignment horizontal="center"/>
      <protection/>
    </xf>
    <xf numFmtId="164" fontId="64" fillId="0" borderId="32" xfId="111" applyNumberFormat="1" applyFont="1" applyBorder="1">
      <alignment/>
      <protection/>
    </xf>
    <xf numFmtId="0" fontId="58" fillId="0" borderId="0" xfId="111" applyFont="1">
      <alignment/>
      <protection/>
    </xf>
    <xf numFmtId="0" fontId="64" fillId="0" borderId="32" xfId="130" applyFont="1" applyBorder="1">
      <alignment/>
      <protection/>
    </xf>
    <xf numFmtId="14" fontId="64" fillId="0" borderId="32" xfId="130" applyNumberFormat="1" applyFont="1" applyBorder="1" applyAlignment="1">
      <alignment horizontal="right"/>
      <protection/>
    </xf>
    <xf numFmtId="178" fontId="64" fillId="0" borderId="32" xfId="130" applyNumberFormat="1" applyFont="1" applyBorder="1" applyAlignment="1">
      <alignment horizontal="right"/>
      <protection/>
    </xf>
    <xf numFmtId="0" fontId="66" fillId="0" borderId="32" xfId="130" applyFont="1" applyBorder="1">
      <alignment/>
      <protection/>
    </xf>
    <xf numFmtId="0" fontId="66" fillId="0" borderId="32" xfId="130" applyFont="1" applyBorder="1" applyAlignment="1">
      <alignment horizontal="center"/>
      <protection/>
    </xf>
    <xf numFmtId="178" fontId="66" fillId="0" borderId="32" xfId="130" applyNumberFormat="1" applyFont="1" applyBorder="1" applyAlignment="1">
      <alignment horizontal="right"/>
      <protection/>
    </xf>
    <xf numFmtId="0" fontId="49" fillId="0" borderId="32" xfId="130" applyFont="1" applyBorder="1">
      <alignment/>
      <protection/>
    </xf>
    <xf numFmtId="14" fontId="49" fillId="0" borderId="32" xfId="130" applyNumberFormat="1" applyFont="1" applyBorder="1" applyAlignment="1">
      <alignment horizontal="right"/>
      <protection/>
    </xf>
    <xf numFmtId="0" fontId="49" fillId="0" borderId="32" xfId="130" applyFont="1" applyBorder="1" applyAlignment="1">
      <alignment horizontal="center"/>
      <protection/>
    </xf>
    <xf numFmtId="178" fontId="49" fillId="0" borderId="32" xfId="130" applyNumberFormat="1" applyFont="1" applyBorder="1" applyAlignment="1">
      <alignment horizontal="right"/>
      <protection/>
    </xf>
    <xf numFmtId="166" fontId="64" fillId="0" borderId="32" xfId="111" applyNumberFormat="1" applyFont="1" applyBorder="1">
      <alignment/>
      <protection/>
    </xf>
    <xf numFmtId="0" fontId="2" fillId="0" borderId="68" xfId="111" applyFont="1" applyBorder="1">
      <alignment/>
      <protection/>
    </xf>
    <xf numFmtId="0" fontId="5" fillId="0" borderId="32" xfId="129" applyFont="1" applyBorder="1">
      <alignment/>
      <protection/>
    </xf>
    <xf numFmtId="14" fontId="5" fillId="0" borderId="32" xfId="129" applyNumberFormat="1" applyFont="1" applyBorder="1" applyAlignment="1">
      <alignment horizontal="center"/>
      <protection/>
    </xf>
    <xf numFmtId="0" fontId="5" fillId="0" borderId="32" xfId="129" applyFont="1" applyBorder="1" applyAlignment="1">
      <alignment horizontal="center"/>
      <protection/>
    </xf>
    <xf numFmtId="164" fontId="5" fillId="0" borderId="32" xfId="129" applyNumberFormat="1" applyFont="1" applyBorder="1" applyAlignment="1">
      <alignment horizontal="right"/>
      <protection/>
    </xf>
    <xf numFmtId="14" fontId="5" fillId="0" borderId="32" xfId="129" applyNumberFormat="1" applyFont="1" applyBorder="1" applyAlignment="1">
      <alignment horizontal="right"/>
      <protection/>
    </xf>
    <xf numFmtId="0" fontId="5" fillId="0" borderId="32" xfId="129" applyFont="1" applyFill="1" applyBorder="1">
      <alignment/>
      <protection/>
    </xf>
    <xf numFmtId="14" fontId="5" fillId="0" borderId="32" xfId="129" applyNumberFormat="1" applyFont="1" applyFill="1" applyBorder="1" applyAlignment="1">
      <alignment horizontal="center"/>
      <protection/>
    </xf>
    <xf numFmtId="0" fontId="5" fillId="0" borderId="32" xfId="129" applyFont="1" applyFill="1" applyBorder="1" applyAlignment="1">
      <alignment horizontal="center"/>
      <protection/>
    </xf>
    <xf numFmtId="164" fontId="5" fillId="0" borderId="32" xfId="129" applyNumberFormat="1" applyFont="1" applyFill="1" applyBorder="1" applyAlignment="1">
      <alignment horizontal="right"/>
      <protection/>
    </xf>
    <xf numFmtId="0" fontId="64" fillId="0" borderId="32" xfId="129" applyFont="1" applyFill="1" applyBorder="1">
      <alignment/>
      <protection/>
    </xf>
    <xf numFmtId="14" fontId="64" fillId="0" borderId="32" xfId="129" applyNumberFormat="1" applyFont="1" applyFill="1" applyBorder="1" applyAlignment="1">
      <alignment horizontal="right"/>
      <protection/>
    </xf>
    <xf numFmtId="0" fontId="64" fillId="0" borderId="32" xfId="129" applyFont="1" applyFill="1" applyBorder="1" applyAlignment="1">
      <alignment horizontal="center"/>
      <protection/>
    </xf>
    <xf numFmtId="164" fontId="64" fillId="0" borderId="32" xfId="129" applyNumberFormat="1" applyFont="1" applyFill="1" applyBorder="1" applyAlignment="1">
      <alignment horizontal="right"/>
      <protection/>
    </xf>
    <xf numFmtId="14" fontId="5" fillId="0" borderId="32" xfId="129" applyNumberFormat="1" applyFont="1" applyFill="1" applyBorder="1" applyAlignment="1">
      <alignment horizontal="right"/>
      <protection/>
    </xf>
    <xf numFmtId="0" fontId="5" fillId="0" borderId="32" xfId="132" applyFont="1" applyBorder="1">
      <alignment/>
      <protection/>
    </xf>
    <xf numFmtId="14" fontId="5" fillId="0" borderId="32" xfId="132" applyNumberFormat="1" applyFont="1" applyBorder="1" applyAlignment="1">
      <alignment horizontal="center"/>
      <protection/>
    </xf>
    <xf numFmtId="0" fontId="5" fillId="0" borderId="32" xfId="132" applyFont="1" applyBorder="1" applyAlignment="1">
      <alignment horizontal="center"/>
      <protection/>
    </xf>
    <xf numFmtId="164" fontId="5" fillId="0" borderId="32" xfId="132" applyNumberFormat="1" applyFont="1" applyBorder="1" applyAlignment="1">
      <alignment horizontal="right"/>
      <protection/>
    </xf>
    <xf numFmtId="14" fontId="5" fillId="0" borderId="32" xfId="132" applyNumberFormat="1" applyFont="1" applyBorder="1" applyAlignment="1">
      <alignment horizontal="right"/>
      <protection/>
    </xf>
    <xf numFmtId="0" fontId="64" fillId="0" borderId="32" xfId="132" applyFont="1" applyFill="1" applyBorder="1">
      <alignment/>
      <protection/>
    </xf>
    <xf numFmtId="14" fontId="64" fillId="0" borderId="32" xfId="132" applyNumberFormat="1" applyFont="1" applyFill="1" applyBorder="1" applyAlignment="1">
      <alignment horizontal="right"/>
      <protection/>
    </xf>
    <xf numFmtId="0" fontId="64" fillId="0" borderId="32" xfId="132" applyFont="1" applyFill="1" applyBorder="1" applyAlignment="1">
      <alignment horizontal="center"/>
      <protection/>
    </xf>
    <xf numFmtId="164" fontId="64" fillId="0" borderId="32" xfId="132" applyNumberFormat="1" applyFont="1" applyFill="1" applyBorder="1" applyAlignment="1">
      <alignment horizontal="right"/>
      <protection/>
    </xf>
    <xf numFmtId="0" fontId="5" fillId="0" borderId="66" xfId="132" applyFont="1" applyFill="1" applyBorder="1" applyAlignment="1">
      <alignment horizontal="right"/>
      <protection/>
    </xf>
    <xf numFmtId="14" fontId="49" fillId="0" borderId="66" xfId="132" applyNumberFormat="1" applyFont="1" applyFill="1" applyBorder="1" applyAlignment="1">
      <alignment horizontal="right"/>
      <protection/>
    </xf>
    <xf numFmtId="0" fontId="49" fillId="0" borderId="66" xfId="132" applyFont="1" applyFill="1" applyBorder="1">
      <alignment/>
      <protection/>
    </xf>
    <xf numFmtId="0" fontId="49" fillId="0" borderId="66" xfId="132" applyFont="1" applyFill="1" applyBorder="1" applyAlignment="1">
      <alignment horizontal="center"/>
      <protection/>
    </xf>
    <xf numFmtId="164" fontId="49" fillId="0" borderId="66" xfId="132" applyNumberFormat="1" applyFont="1" applyFill="1" applyBorder="1" applyAlignment="1">
      <alignment horizontal="right"/>
      <protection/>
    </xf>
    <xf numFmtId="0" fontId="58" fillId="0" borderId="0" xfId="111" applyFont="1" applyFill="1">
      <alignment/>
      <protection/>
    </xf>
    <xf numFmtId="0" fontId="5" fillId="0" borderId="32" xfId="132" applyFont="1" applyBorder="1" applyAlignment="1">
      <alignment horizontal="left"/>
      <protection/>
    </xf>
    <xf numFmtId="0" fontId="5" fillId="0" borderId="32" xfId="111" applyFont="1" applyFill="1" applyBorder="1">
      <alignment/>
      <protection/>
    </xf>
    <xf numFmtId="0" fontId="0" fillId="0" borderId="69" xfId="111" applyBorder="1" applyAlignment="1">
      <alignment horizontal="right"/>
      <protection/>
    </xf>
    <xf numFmtId="0" fontId="0" fillId="0" borderId="69" xfId="111" applyBorder="1">
      <alignment/>
      <protection/>
    </xf>
    <xf numFmtId="0" fontId="0" fillId="0" borderId="69" xfId="111" applyBorder="1" applyAlignment="1">
      <alignment horizontal="center"/>
      <protection/>
    </xf>
    <xf numFmtId="164" fontId="0" fillId="0" borderId="69" xfId="111" applyNumberFormat="1" applyBorder="1">
      <alignment/>
      <protection/>
    </xf>
    <xf numFmtId="164" fontId="0" fillId="0" borderId="32" xfId="111" applyNumberFormat="1" applyBorder="1">
      <alignment/>
      <protection/>
    </xf>
    <xf numFmtId="0" fontId="5" fillId="0" borderId="32" xfId="131" applyFont="1" applyBorder="1" applyAlignment="1">
      <alignment horizontal="center"/>
      <protection/>
    </xf>
    <xf numFmtId="14" fontId="5" fillId="0" borderId="32" xfId="131" applyNumberFormat="1" applyFont="1" applyBorder="1" applyAlignment="1">
      <alignment horizontal="center"/>
      <protection/>
    </xf>
    <xf numFmtId="164" fontId="5" fillId="0" borderId="32" xfId="131" applyNumberFormat="1" applyFont="1" applyBorder="1" applyAlignment="1">
      <alignment horizontal="right"/>
      <protection/>
    </xf>
    <xf numFmtId="0" fontId="5" fillId="0" borderId="32" xfId="131" applyFont="1" applyBorder="1">
      <alignment/>
      <protection/>
    </xf>
    <xf numFmtId="14" fontId="5" fillId="0" borderId="32" xfId="131" applyNumberFormat="1" applyFont="1" applyBorder="1" applyAlignment="1">
      <alignment horizontal="right"/>
      <protection/>
    </xf>
    <xf numFmtId="0" fontId="64" fillId="0" borderId="32" xfId="131" applyFont="1" applyFill="1" applyBorder="1">
      <alignment/>
      <protection/>
    </xf>
    <xf numFmtId="14" fontId="64" fillId="0" borderId="32" xfId="131" applyNumberFormat="1" applyFont="1" applyFill="1" applyBorder="1" applyAlignment="1">
      <alignment horizontal="right"/>
      <protection/>
    </xf>
    <xf numFmtId="0" fontId="64" fillId="0" borderId="32" xfId="131" applyFont="1" applyFill="1" applyBorder="1" applyAlignment="1">
      <alignment horizontal="center"/>
      <protection/>
    </xf>
    <xf numFmtId="164" fontId="64" fillId="0" borderId="32" xfId="131" applyNumberFormat="1" applyFont="1" applyFill="1" applyBorder="1" applyAlignment="1">
      <alignment horizontal="right"/>
      <protection/>
    </xf>
    <xf numFmtId="0" fontId="49" fillId="0" borderId="32" xfId="131" applyFont="1" applyFill="1" applyBorder="1">
      <alignment/>
      <protection/>
    </xf>
    <xf numFmtId="14" fontId="49" fillId="0" borderId="32" xfId="131" applyNumberFormat="1" applyFont="1" applyFill="1" applyBorder="1" applyAlignment="1">
      <alignment horizontal="right"/>
      <protection/>
    </xf>
    <xf numFmtId="0" fontId="49" fillId="0" borderId="32" xfId="131" applyFont="1" applyFill="1" applyBorder="1" applyAlignment="1">
      <alignment horizontal="center"/>
      <protection/>
    </xf>
    <xf numFmtId="164" fontId="49" fillId="0" borderId="32" xfId="131" applyNumberFormat="1" applyFont="1" applyFill="1" applyBorder="1" applyAlignment="1">
      <alignment horizontal="right"/>
      <protection/>
    </xf>
    <xf numFmtId="0" fontId="0" fillId="0" borderId="66" xfId="131" applyFont="1" applyFill="1" applyBorder="1" applyAlignment="1">
      <alignment horizontal="right"/>
      <protection/>
    </xf>
    <xf numFmtId="14" fontId="64" fillId="0" borderId="66" xfId="131" applyNumberFormat="1" applyFont="1" applyFill="1" applyBorder="1" applyAlignment="1">
      <alignment horizontal="right"/>
      <protection/>
    </xf>
    <xf numFmtId="0" fontId="64" fillId="0" borderId="66" xfId="131" applyFont="1" applyFill="1" applyBorder="1" applyAlignment="1">
      <alignment horizontal="center"/>
      <protection/>
    </xf>
    <xf numFmtId="0" fontId="64" fillId="0" borderId="66" xfId="131" applyFont="1" applyFill="1" applyBorder="1">
      <alignment/>
      <protection/>
    </xf>
    <xf numFmtId="164" fontId="64" fillId="0" borderId="66" xfId="131" applyNumberFormat="1" applyFont="1" applyFill="1" applyBorder="1" applyAlignment="1">
      <alignment horizontal="right"/>
      <protection/>
    </xf>
    <xf numFmtId="164" fontId="5" fillId="0" borderId="58" xfId="111" applyNumberFormat="1" applyFont="1" applyBorder="1" applyAlignment="1">
      <alignment horizontal="right"/>
      <protection/>
    </xf>
    <xf numFmtId="0" fontId="64" fillId="0" borderId="32" xfId="131" applyFont="1" applyBorder="1" applyAlignment="1">
      <alignment horizontal="center"/>
      <protection/>
    </xf>
    <xf numFmtId="14" fontId="64" fillId="0" borderId="32" xfId="131" applyNumberFormat="1" applyFont="1" applyBorder="1" applyAlignment="1">
      <alignment horizontal="center"/>
      <protection/>
    </xf>
    <xf numFmtId="0" fontId="64" fillId="0" borderId="32" xfId="131" applyFont="1" applyBorder="1">
      <alignment/>
      <protection/>
    </xf>
    <xf numFmtId="164" fontId="64" fillId="0" borderId="32" xfId="131" applyNumberFormat="1" applyFont="1" applyBorder="1" applyAlignment="1">
      <alignment horizontal="right"/>
      <protection/>
    </xf>
    <xf numFmtId="14" fontId="64" fillId="0" borderId="32" xfId="131" applyNumberFormat="1" applyFont="1" applyFill="1" applyBorder="1" applyAlignment="1">
      <alignment horizontal="center"/>
      <protection/>
    </xf>
    <xf numFmtId="14" fontId="49" fillId="0" borderId="66" xfId="131" applyNumberFormat="1" applyFont="1" applyFill="1" applyBorder="1" applyAlignment="1">
      <alignment horizontal="right"/>
      <protection/>
    </xf>
    <xf numFmtId="0" fontId="49" fillId="0" borderId="66" xfId="131" applyFont="1" applyFill="1" applyBorder="1">
      <alignment/>
      <protection/>
    </xf>
    <xf numFmtId="0" fontId="49" fillId="0" borderId="66" xfId="131" applyFont="1" applyFill="1" applyBorder="1" applyAlignment="1">
      <alignment horizontal="center"/>
      <protection/>
    </xf>
    <xf numFmtId="164" fontId="49" fillId="0" borderId="66" xfId="131" applyNumberFormat="1" applyFont="1" applyFill="1" applyBorder="1" applyAlignment="1">
      <alignment horizontal="right"/>
      <protection/>
    </xf>
    <xf numFmtId="14" fontId="64" fillId="0" borderId="66" xfId="131" applyNumberFormat="1" applyFont="1" applyFill="1" applyBorder="1" applyAlignment="1">
      <alignment horizontal="center"/>
      <protection/>
    </xf>
    <xf numFmtId="0" fontId="0" fillId="0" borderId="32" xfId="131" applyFont="1" applyFill="1" applyBorder="1" applyAlignment="1">
      <alignment horizontal="right"/>
      <protection/>
    </xf>
    <xf numFmtId="0" fontId="0" fillId="0" borderId="32" xfId="131" applyFont="1" applyFill="1" applyBorder="1" applyAlignment="1">
      <alignment horizontal="center"/>
      <protection/>
    </xf>
    <xf numFmtId="14" fontId="5" fillId="0" borderId="32" xfId="131" applyNumberFormat="1" applyFont="1" applyFill="1" applyBorder="1" applyAlignment="1">
      <alignment horizontal="center"/>
      <protection/>
    </xf>
    <xf numFmtId="0" fontId="5" fillId="0" borderId="32" xfId="131" applyFont="1" applyFill="1" applyBorder="1" applyAlignment="1">
      <alignment horizontal="center"/>
      <protection/>
    </xf>
    <xf numFmtId="164" fontId="5" fillId="0" borderId="32" xfId="131" applyNumberFormat="1" applyFont="1" applyFill="1" applyBorder="1" applyAlignment="1">
      <alignment horizontal="right"/>
      <protection/>
    </xf>
    <xf numFmtId="164" fontId="0" fillId="0" borderId="58" xfId="111" applyNumberFormat="1" applyBorder="1" applyAlignment="1">
      <alignment horizontal="right"/>
      <protection/>
    </xf>
    <xf numFmtId="164" fontId="5" fillId="0" borderId="32" xfId="131" applyNumberFormat="1" applyFont="1" applyBorder="1" applyAlignment="1">
      <alignment horizontal="center"/>
      <protection/>
    </xf>
    <xf numFmtId="164" fontId="64" fillId="0" borderId="32" xfId="131" applyNumberFormat="1" applyFont="1" applyFill="1" applyBorder="1" applyAlignment="1">
      <alignment horizontal="center"/>
      <protection/>
    </xf>
    <xf numFmtId="0" fontId="0" fillId="0" borderId="69" xfId="131" applyFont="1" applyFill="1" applyBorder="1" applyAlignment="1">
      <alignment horizontal="right"/>
      <protection/>
    </xf>
    <xf numFmtId="14" fontId="64" fillId="0" borderId="69" xfId="131" applyNumberFormat="1" applyFont="1" applyFill="1" applyBorder="1" applyAlignment="1">
      <alignment horizontal="center"/>
      <protection/>
    </xf>
    <xf numFmtId="0" fontId="64" fillId="0" borderId="69" xfId="131" applyFont="1" applyFill="1" applyBorder="1" applyAlignment="1">
      <alignment horizontal="center"/>
      <protection/>
    </xf>
    <xf numFmtId="164" fontId="64" fillId="0" borderId="69" xfId="131" applyNumberFormat="1" applyFont="1" applyFill="1" applyBorder="1" applyAlignment="1">
      <alignment horizontal="center"/>
      <protection/>
    </xf>
    <xf numFmtId="164" fontId="0" fillId="0" borderId="32" xfId="111" applyNumberFormat="1" applyBorder="1" applyAlignment="1">
      <alignment horizontal="right"/>
      <protection/>
    </xf>
    <xf numFmtId="0" fontId="5" fillId="0" borderId="32" xfId="99" applyFont="1" applyBorder="1" applyAlignment="1">
      <alignment horizontal="center"/>
      <protection/>
    </xf>
    <xf numFmtId="14" fontId="5" fillId="0" borderId="32" xfId="99" applyNumberFormat="1" applyFont="1" applyBorder="1" applyAlignment="1">
      <alignment horizontal="center"/>
      <protection/>
    </xf>
    <xf numFmtId="41" fontId="5" fillId="0" borderId="32" xfId="99" applyNumberFormat="1" applyFont="1" applyBorder="1" applyAlignment="1">
      <alignment/>
      <protection/>
    </xf>
    <xf numFmtId="0" fontId="0" fillId="0" borderId="66" xfId="99" applyFont="1" applyFill="1" applyBorder="1" applyAlignment="1">
      <alignment horizontal="right"/>
      <protection/>
    </xf>
    <xf numFmtId="14" fontId="64" fillId="0" borderId="66" xfId="99" applyNumberFormat="1" applyFont="1" applyFill="1" applyBorder="1" applyAlignment="1">
      <alignment horizontal="center"/>
      <protection/>
    </xf>
    <xf numFmtId="0" fontId="64" fillId="0" borderId="66" xfId="99" applyFont="1" applyFill="1" applyBorder="1" applyAlignment="1">
      <alignment horizontal="center"/>
      <protection/>
    </xf>
    <xf numFmtId="41" fontId="64" fillId="0" borderId="66" xfId="99" applyNumberFormat="1" applyFont="1" applyFill="1" applyBorder="1" applyAlignment="1">
      <alignment/>
      <protection/>
    </xf>
    <xf numFmtId="0" fontId="5" fillId="0" borderId="32" xfId="104" applyFont="1" applyBorder="1" applyAlignment="1">
      <alignment horizontal="center"/>
      <protection/>
    </xf>
    <xf numFmtId="14" fontId="5" fillId="0" borderId="32" xfId="104" applyNumberFormat="1" applyFont="1" applyBorder="1" applyAlignment="1">
      <alignment horizontal="center"/>
      <protection/>
    </xf>
    <xf numFmtId="0" fontId="5" fillId="0" borderId="32" xfId="104" applyFont="1" applyBorder="1">
      <alignment/>
      <protection/>
    </xf>
    <xf numFmtId="41" fontId="5" fillId="0" borderId="32" xfId="104" applyNumberFormat="1" applyFont="1" applyBorder="1" applyAlignment="1">
      <alignment horizontal="right"/>
      <protection/>
    </xf>
    <xf numFmtId="0" fontId="5" fillId="0" borderId="32" xfId="104" applyFont="1" applyFill="1" applyBorder="1">
      <alignment/>
      <protection/>
    </xf>
    <xf numFmtId="14" fontId="5" fillId="0" borderId="32" xfId="104" applyNumberFormat="1" applyFont="1" applyFill="1" applyBorder="1" applyAlignment="1">
      <alignment horizontal="center"/>
      <protection/>
    </xf>
    <xf numFmtId="0" fontId="64" fillId="0" borderId="32" xfId="104" applyFont="1" applyFill="1" applyBorder="1" applyAlignment="1">
      <alignment horizontal="center"/>
      <protection/>
    </xf>
    <xf numFmtId="0" fontId="5" fillId="0" borderId="32" xfId="104" applyFont="1" applyFill="1" applyBorder="1" applyAlignment="1">
      <alignment horizontal="center"/>
      <protection/>
    </xf>
    <xf numFmtId="0" fontId="64" fillId="0" borderId="32" xfId="104" applyFont="1" applyFill="1" applyBorder="1">
      <alignment/>
      <protection/>
    </xf>
    <xf numFmtId="41" fontId="64" fillId="0" borderId="32" xfId="104" applyNumberFormat="1" applyFont="1" applyFill="1" applyBorder="1" applyAlignment="1">
      <alignment horizontal="right"/>
      <protection/>
    </xf>
    <xf numFmtId="0" fontId="0" fillId="0" borderId="0" xfId="111" applyFill="1" applyBorder="1">
      <alignment/>
      <protection/>
    </xf>
    <xf numFmtId="0" fontId="0" fillId="0" borderId="66" xfId="104" applyFont="1" applyFill="1" applyBorder="1" applyAlignment="1">
      <alignment horizontal="right"/>
      <protection/>
    </xf>
    <xf numFmtId="14" fontId="64" fillId="0" borderId="66" xfId="104" applyNumberFormat="1" applyFont="1" applyFill="1" applyBorder="1" applyAlignment="1">
      <alignment horizontal="center"/>
      <protection/>
    </xf>
    <xf numFmtId="0" fontId="64" fillId="0" borderId="66" xfId="104" applyFont="1" applyFill="1" applyBorder="1" applyAlignment="1">
      <alignment horizontal="center"/>
      <protection/>
    </xf>
    <xf numFmtId="0" fontId="64" fillId="0" borderId="66" xfId="104" applyFont="1" applyFill="1" applyBorder="1">
      <alignment/>
      <protection/>
    </xf>
    <xf numFmtId="41" fontId="64" fillId="0" borderId="66" xfId="104" applyNumberFormat="1" applyFont="1" applyFill="1" applyBorder="1" applyAlignment="1">
      <alignment horizontal="right"/>
      <protection/>
    </xf>
    <xf numFmtId="41" fontId="5" fillId="0" borderId="32" xfId="104" applyNumberFormat="1" applyFont="1" applyBorder="1" applyAlignment="1">
      <alignment horizontal="center"/>
      <protection/>
    </xf>
    <xf numFmtId="41" fontId="64" fillId="0" borderId="66" xfId="104" applyNumberFormat="1" applyFont="1" applyFill="1" applyBorder="1" applyAlignment="1">
      <alignment horizontal="center"/>
      <protection/>
    </xf>
    <xf numFmtId="4" fontId="5" fillId="0" borderId="32" xfId="104" applyNumberFormat="1" applyFont="1" applyFill="1" applyBorder="1" applyAlignment="1">
      <alignment horizontal="center"/>
      <protection/>
    </xf>
    <xf numFmtId="14" fontId="64" fillId="0" borderId="32" xfId="104" applyNumberFormat="1" applyFont="1" applyFill="1" applyBorder="1" applyAlignment="1">
      <alignment horizontal="center"/>
      <protection/>
    </xf>
    <xf numFmtId="4" fontId="64" fillId="0" borderId="32" xfId="104" applyNumberFormat="1" applyFont="1" applyFill="1" applyBorder="1" applyAlignment="1">
      <alignment horizontal="center"/>
      <protection/>
    </xf>
    <xf numFmtId="4" fontId="64" fillId="0" borderId="66" xfId="104" applyNumberFormat="1" applyFont="1" applyFill="1" applyBorder="1" applyAlignment="1">
      <alignment horizontal="center"/>
      <protection/>
    </xf>
    <xf numFmtId="41" fontId="5" fillId="0" borderId="32" xfId="104" applyNumberFormat="1" applyFont="1" applyFill="1" applyBorder="1" applyAlignment="1">
      <alignment horizontal="center"/>
      <protection/>
    </xf>
    <xf numFmtId="41" fontId="64" fillId="0" borderId="32" xfId="104" applyNumberFormat="1" applyFont="1" applyFill="1" applyBorder="1" applyAlignment="1">
      <alignment horizontal="center"/>
      <protection/>
    </xf>
    <xf numFmtId="41" fontId="0" fillId="0" borderId="58" xfId="111" applyNumberFormat="1" applyBorder="1" applyAlignment="1">
      <alignment horizontal="right"/>
      <protection/>
    </xf>
    <xf numFmtId="0" fontId="0" fillId="0" borderId="32" xfId="111" applyFont="1" applyFill="1" applyBorder="1" applyAlignment="1">
      <alignment horizontal="right"/>
      <protection/>
    </xf>
    <xf numFmtId="0" fontId="0" fillId="0" borderId="32" xfId="111" applyFill="1" applyBorder="1">
      <alignment/>
      <protection/>
    </xf>
    <xf numFmtId="0" fontId="49" fillId="0" borderId="32" xfId="111" applyFont="1" applyFill="1" applyBorder="1" applyAlignment="1">
      <alignment horizontal="center"/>
      <protection/>
    </xf>
    <xf numFmtId="0" fontId="58" fillId="0" borderId="32" xfId="111" applyFont="1" applyFill="1" applyBorder="1">
      <alignment/>
      <protection/>
    </xf>
    <xf numFmtId="41" fontId="49" fillId="0" borderId="32" xfId="111" applyNumberFormat="1" applyFont="1" applyFill="1" applyBorder="1" applyAlignment="1">
      <alignment horizontal="center"/>
      <protection/>
    </xf>
    <xf numFmtId="41" fontId="5" fillId="0" borderId="32" xfId="111" applyNumberFormat="1" applyFont="1" applyBorder="1">
      <alignment/>
      <protection/>
    </xf>
    <xf numFmtId="41" fontId="64" fillId="0" borderId="32" xfId="111" applyNumberFormat="1" applyFont="1" applyBorder="1">
      <alignment/>
      <protection/>
    </xf>
    <xf numFmtId="0" fontId="0" fillId="0" borderId="66" xfId="111" applyFont="1" applyFill="1" applyBorder="1" applyAlignment="1">
      <alignment horizontal="right"/>
      <protection/>
    </xf>
    <xf numFmtId="41" fontId="64" fillId="0" borderId="66" xfId="111" applyNumberFormat="1" applyFont="1" applyBorder="1">
      <alignment/>
      <protection/>
    </xf>
    <xf numFmtId="41" fontId="0" fillId="0" borderId="58" xfId="111" applyNumberFormat="1" applyBorder="1">
      <alignment/>
      <protection/>
    </xf>
    <xf numFmtId="0" fontId="5" fillId="0" borderId="66" xfId="111" applyFont="1" applyBorder="1" applyAlignment="1">
      <alignment horizontal="center"/>
      <protection/>
    </xf>
    <xf numFmtId="41" fontId="5" fillId="0" borderId="58" xfId="111" applyNumberFormat="1" applyFont="1" applyBorder="1">
      <alignment/>
      <protection/>
    </xf>
    <xf numFmtId="49" fontId="64" fillId="0" borderId="32" xfId="111" applyNumberFormat="1" applyFont="1" applyBorder="1" applyAlignment="1">
      <alignment horizontal="center"/>
      <protection/>
    </xf>
    <xf numFmtId="0" fontId="0" fillId="0" borderId="70" xfId="111" applyBorder="1">
      <alignment/>
      <protection/>
    </xf>
    <xf numFmtId="0" fontId="0" fillId="0" borderId="48" xfId="111" applyBorder="1">
      <alignment/>
      <protection/>
    </xf>
    <xf numFmtId="0" fontId="5" fillId="0" borderId="33" xfId="111" applyFont="1" applyBorder="1" applyAlignment="1">
      <alignment horizontal="center"/>
      <protection/>
    </xf>
    <xf numFmtId="41" fontId="5" fillId="0" borderId="35" xfId="111" applyNumberFormat="1" applyFont="1" applyBorder="1">
      <alignment/>
      <protection/>
    </xf>
    <xf numFmtId="0" fontId="5" fillId="0" borderId="0" xfId="111" applyFont="1">
      <alignment/>
      <protection/>
    </xf>
    <xf numFmtId="0" fontId="64" fillId="0" borderId="33" xfId="111" applyFont="1" applyBorder="1" applyAlignment="1">
      <alignment horizontal="center"/>
      <protection/>
    </xf>
    <xf numFmtId="41" fontId="64" fillId="0" borderId="35" xfId="111" applyNumberFormat="1" applyFont="1" applyBorder="1">
      <alignment/>
      <protection/>
    </xf>
    <xf numFmtId="0" fontId="64" fillId="0" borderId="0" xfId="111" applyFont="1">
      <alignment/>
      <protection/>
    </xf>
    <xf numFmtId="0" fontId="0" fillId="0" borderId="71" xfId="104" applyFont="1" applyFill="1" applyBorder="1" applyAlignment="1">
      <alignment horizontal="right"/>
      <protection/>
    </xf>
    <xf numFmtId="41" fontId="64" fillId="0" borderId="72" xfId="111" applyNumberFormat="1" applyFont="1" applyBorder="1">
      <alignment/>
      <protection/>
    </xf>
    <xf numFmtId="0" fontId="5" fillId="0" borderId="70" xfId="111" applyFont="1" applyBorder="1" applyAlignment="1">
      <alignment horizontal="center"/>
      <protection/>
    </xf>
    <xf numFmtId="41" fontId="5" fillId="0" borderId="48" xfId="111" applyNumberFormat="1" applyFont="1" applyBorder="1">
      <alignment/>
      <protection/>
    </xf>
    <xf numFmtId="41" fontId="0" fillId="0" borderId="48" xfId="111" applyNumberFormat="1" applyBorder="1">
      <alignment/>
      <protection/>
    </xf>
    <xf numFmtId="0" fontId="0" fillId="0" borderId="71" xfId="111" applyFont="1" applyFill="1" applyBorder="1" applyAlignment="1">
      <alignment horizontal="right"/>
      <protection/>
    </xf>
    <xf numFmtId="0" fontId="0" fillId="0" borderId="33" xfId="111" applyBorder="1">
      <alignment/>
      <protection/>
    </xf>
    <xf numFmtId="41" fontId="0" fillId="0" borderId="35" xfId="111" applyNumberFormat="1" applyBorder="1">
      <alignment/>
      <protection/>
    </xf>
    <xf numFmtId="0" fontId="0" fillId="0" borderId="28" xfId="111" applyFont="1" applyFill="1" applyBorder="1" applyAlignment="1">
      <alignment horizontal="right"/>
      <protection/>
    </xf>
    <xf numFmtId="0" fontId="5" fillId="0" borderId="28" xfId="111" applyFont="1" applyBorder="1" applyAlignment="1">
      <alignment horizontal="center"/>
      <protection/>
    </xf>
    <xf numFmtId="0" fontId="64" fillId="0" borderId="28" xfId="111" applyFont="1" applyBorder="1" applyAlignment="1">
      <alignment horizontal="center"/>
      <protection/>
    </xf>
    <xf numFmtId="41" fontId="64" fillId="0" borderId="28" xfId="111" applyNumberFormat="1" applyFont="1" applyBorder="1">
      <alignment/>
      <protection/>
    </xf>
    <xf numFmtId="0" fontId="0" fillId="0" borderId="0" xfId="0" applyFont="1" applyFill="1" applyAlignment="1">
      <alignment/>
    </xf>
    <xf numFmtId="0" fontId="5" fillId="0" borderId="0" xfId="99" applyFont="1" applyFill="1">
      <alignment/>
      <protection/>
    </xf>
    <xf numFmtId="9" fontId="0" fillId="0" borderId="0" xfId="142" applyFont="1" applyFill="1" applyAlignment="1">
      <alignment/>
    </xf>
    <xf numFmtId="179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142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181" fontId="0" fillId="0" borderId="0" xfId="0" applyNumberForma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5" fillId="0" borderId="0" xfId="99" applyFont="1" applyFill="1" applyAlignment="1">
      <alignment/>
      <protection/>
    </xf>
    <xf numFmtId="3" fontId="5" fillId="0" borderId="0" xfId="99" applyNumberFormat="1" applyFont="1" applyFill="1" applyBorder="1" applyAlignment="1">
      <alignment horizontal="right" wrapText="1"/>
      <protection/>
    </xf>
    <xf numFmtId="3" fontId="5" fillId="0" borderId="0" xfId="99" applyNumberFormat="1" applyFont="1" applyFill="1">
      <alignment/>
      <protection/>
    </xf>
    <xf numFmtId="0" fontId="0" fillId="0" borderId="0" xfId="99">
      <alignment/>
      <protection/>
    </xf>
    <xf numFmtId="3" fontId="58" fillId="0" borderId="22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58" fillId="0" borderId="74" xfId="0" applyNumberFormat="1" applyFont="1" applyFill="1" applyBorder="1" applyAlignment="1">
      <alignment/>
    </xf>
    <xf numFmtId="3" fontId="0" fillId="0" borderId="75" xfId="0" applyNumberFormat="1" applyFont="1" applyFill="1" applyBorder="1" applyAlignment="1">
      <alignment/>
    </xf>
    <xf numFmtId="3" fontId="0" fillId="0" borderId="75" xfId="99" applyNumberFormat="1" applyFont="1" applyFill="1" applyBorder="1">
      <alignment/>
      <protection/>
    </xf>
    <xf numFmtId="0" fontId="5" fillId="0" borderId="0" xfId="99" applyFont="1">
      <alignment/>
      <protection/>
    </xf>
    <xf numFmtId="0" fontId="0" fillId="0" borderId="0" xfId="99" applyFill="1">
      <alignment/>
      <protection/>
    </xf>
    <xf numFmtId="0" fontId="0" fillId="0" borderId="0" xfId="0" applyFill="1" applyAlignment="1">
      <alignment/>
    </xf>
    <xf numFmtId="49" fontId="5" fillId="0" borderId="0" xfId="99" applyNumberFormat="1" applyFont="1" applyFill="1" applyBorder="1" applyAlignment="1">
      <alignment horizontal="center" vertical="center"/>
      <protection/>
    </xf>
    <xf numFmtId="4" fontId="5" fillId="0" borderId="0" xfId="99" applyNumberFormat="1" applyFont="1">
      <alignment/>
      <protection/>
    </xf>
    <xf numFmtId="3" fontId="5" fillId="0" borderId="0" xfId="99" applyNumberFormat="1" applyFont="1" applyFill="1" applyBorder="1" applyAlignment="1">
      <alignment horizontal="right"/>
      <protection/>
    </xf>
    <xf numFmtId="17" fontId="5" fillId="0" borderId="0" xfId="99" applyNumberFormat="1" applyFont="1">
      <alignment/>
      <protection/>
    </xf>
    <xf numFmtId="0" fontId="5" fillId="0" borderId="0" xfId="99" applyFont="1" applyAlignment="1">
      <alignment horizontal="right"/>
      <protection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horizontal="right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9" fontId="0" fillId="0" borderId="2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89" fillId="0" borderId="25" xfId="137" applyFont="1" applyFill="1" applyBorder="1" applyAlignment="1">
      <alignment vertical="center" wrapText="1"/>
      <protection/>
    </xf>
    <xf numFmtId="0" fontId="89" fillId="0" borderId="25" xfId="0" applyFont="1" applyFill="1" applyBorder="1" applyAlignment="1">
      <alignment horizontal="center" vertical="center"/>
    </xf>
    <xf numFmtId="0" fontId="89" fillId="0" borderId="25" xfId="137" applyFont="1" applyFill="1" applyBorder="1" applyAlignment="1">
      <alignment horizontal="center" vertical="center" wrapText="1"/>
      <protection/>
    </xf>
    <xf numFmtId="0" fontId="89" fillId="0" borderId="76" xfId="137" applyFont="1" applyFill="1" applyBorder="1" applyAlignment="1">
      <alignment vertical="center" wrapText="1"/>
      <protection/>
    </xf>
    <xf numFmtId="0" fontId="89" fillId="0" borderId="22" xfId="0" applyFont="1" applyFill="1" applyBorder="1" applyAlignment="1">
      <alignment vertical="center"/>
    </xf>
    <xf numFmtId="49" fontId="89" fillId="0" borderId="25" xfId="137" applyNumberFormat="1" applyFont="1" applyFill="1" applyBorder="1" applyAlignment="1">
      <alignment horizontal="center" vertical="center"/>
      <protection/>
    </xf>
    <xf numFmtId="0" fontId="89" fillId="0" borderId="25" xfId="137" applyNumberFormat="1" applyFont="1" applyFill="1" applyBorder="1" applyAlignment="1">
      <alignment horizontal="right" vertical="center"/>
      <protection/>
    </xf>
    <xf numFmtId="0" fontId="89" fillId="0" borderId="22" xfId="0" applyFont="1" applyFill="1" applyBorder="1" applyAlignment="1">
      <alignment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73" xfId="0" applyFont="1" applyFill="1" applyBorder="1" applyAlignment="1">
      <alignment vertical="center" wrapText="1"/>
    </xf>
    <xf numFmtId="0" fontId="89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wrapText="1"/>
    </xf>
    <xf numFmtId="1" fontId="0" fillId="0" borderId="20" xfId="0" applyNumberFormat="1" applyFont="1" applyFill="1" applyBorder="1" applyAlignment="1">
      <alignment horizontal="righ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top"/>
    </xf>
    <xf numFmtId="0" fontId="0" fillId="0" borderId="22" xfId="0" applyFill="1" applyBorder="1" applyAlignment="1">
      <alignment vertical="top" wrapText="1"/>
    </xf>
    <xf numFmtId="0" fontId="0" fillId="0" borderId="25" xfId="0" applyFont="1" applyFill="1" applyBorder="1" applyAlignment="1">
      <alignment horizontal="right" vertical="center"/>
    </xf>
    <xf numFmtId="0" fontId="49" fillId="0" borderId="0" xfId="99" applyFont="1" applyFill="1" applyBorder="1">
      <alignment/>
      <protection/>
    </xf>
    <xf numFmtId="0" fontId="0" fillId="0" borderId="0" xfId="99" applyFill="1" applyBorder="1">
      <alignment/>
      <protection/>
    </xf>
    <xf numFmtId="0" fontId="0" fillId="0" borderId="0" xfId="99" applyFill="1" applyBorder="1" applyAlignment="1">
      <alignment horizontal="center"/>
      <protection/>
    </xf>
    <xf numFmtId="181" fontId="49" fillId="0" borderId="0" xfId="99" applyNumberFormat="1" applyFont="1" applyFill="1" applyBorder="1" applyAlignment="1">
      <alignment horizontal="right"/>
      <protection/>
    </xf>
    <xf numFmtId="0" fontId="58" fillId="0" borderId="0" xfId="99" applyFont="1" applyFill="1" applyAlignment="1">
      <alignment horizontal="left"/>
      <protection/>
    </xf>
    <xf numFmtId="0" fontId="0" fillId="0" borderId="0" xfId="99" applyFont="1" applyFill="1">
      <alignment/>
      <protection/>
    </xf>
    <xf numFmtId="0" fontId="0" fillId="0" borderId="0" xfId="99" applyFont="1" applyFill="1" applyAlignment="1">
      <alignment horizontal="right"/>
      <protection/>
    </xf>
    <xf numFmtId="0" fontId="0" fillId="0" borderId="0" xfId="99" applyFont="1" applyFill="1" applyAlignment="1">
      <alignment horizontal="center"/>
      <protection/>
    </xf>
    <xf numFmtId="4" fontId="0" fillId="0" borderId="0" xfId="99" applyNumberFormat="1" applyFont="1" applyFill="1">
      <alignment/>
      <protection/>
    </xf>
    <xf numFmtId="0" fontId="0" fillId="0" borderId="0" xfId="99" applyFont="1" applyFill="1" applyBorder="1">
      <alignment/>
      <protection/>
    </xf>
    <xf numFmtId="4" fontId="0" fillId="0" borderId="0" xfId="99" applyNumberFormat="1" applyFill="1">
      <alignment/>
      <protection/>
    </xf>
    <xf numFmtId="4" fontId="49" fillId="0" borderId="0" xfId="99" applyNumberFormat="1" applyFont="1" applyFill="1" applyBorder="1">
      <alignment/>
      <protection/>
    </xf>
    <xf numFmtId="0" fontId="69" fillId="0" borderId="0" xfId="99" applyFont="1" applyFill="1" applyBorder="1" applyAlignment="1">
      <alignment horizontal="center"/>
      <protection/>
    </xf>
    <xf numFmtId="0" fontId="68" fillId="0" borderId="0" xfId="0" applyFont="1" applyFill="1" applyBorder="1" applyAlignment="1">
      <alignment/>
    </xf>
    <xf numFmtId="0" fontId="58" fillId="0" borderId="22" xfId="0" applyFont="1" applyFill="1" applyBorder="1" applyAlignment="1">
      <alignment horizontal="center" wrapText="1"/>
    </xf>
    <xf numFmtId="3" fontId="0" fillId="0" borderId="22" xfId="0" applyNumberFormat="1" applyFont="1" applyFill="1" applyBorder="1" applyAlignment="1">
      <alignment horizontal="right" wrapText="1"/>
    </xf>
    <xf numFmtId="0" fontId="0" fillId="0" borderId="35" xfId="0" applyFont="1" applyFill="1" applyBorder="1" applyAlignment="1">
      <alignment/>
    </xf>
    <xf numFmtId="0" fontId="58" fillId="0" borderId="22" xfId="99" applyFont="1" applyFill="1" applyBorder="1" applyAlignment="1">
      <alignment horizontal="center" vertical="center" wrapText="1"/>
      <protection/>
    </xf>
    <xf numFmtId="0" fontId="58" fillId="0" borderId="73" xfId="99" applyFont="1" applyFill="1" applyBorder="1" applyAlignment="1">
      <alignment horizontal="center" vertical="center" wrapText="1"/>
      <protection/>
    </xf>
    <xf numFmtId="3" fontId="0" fillId="0" borderId="77" xfId="99" applyNumberFormat="1" applyFont="1" applyFill="1" applyBorder="1">
      <alignment/>
      <protection/>
    </xf>
    <xf numFmtId="181" fontId="58" fillId="0" borderId="22" xfId="0" applyNumberFormat="1" applyFont="1" applyFill="1" applyBorder="1" applyAlignment="1">
      <alignment horizontal="left" vertical="center"/>
    </xf>
    <xf numFmtId="10" fontId="0" fillId="0" borderId="22" xfId="0" applyNumberFormat="1" applyFont="1" applyFill="1" applyBorder="1" applyAlignment="1">
      <alignment/>
    </xf>
    <xf numFmtId="10" fontId="106" fillId="0" borderId="22" xfId="0" applyNumberFormat="1" applyFont="1" applyFill="1" applyBorder="1" applyAlignment="1">
      <alignment/>
    </xf>
    <xf numFmtId="181" fontId="58" fillId="0" borderId="75" xfId="99" applyNumberFormat="1" applyFont="1" applyFill="1" applyBorder="1" applyAlignment="1">
      <alignment horizontal="left" vertical="center"/>
      <protection/>
    </xf>
    <xf numFmtId="10" fontId="0" fillId="0" borderId="75" xfId="99" applyNumberFormat="1" applyFont="1" applyFill="1" applyBorder="1">
      <alignment/>
      <protection/>
    </xf>
    <xf numFmtId="181" fontId="58" fillId="0" borderId="74" xfId="99" applyNumberFormat="1" applyFont="1" applyFill="1" applyBorder="1" applyAlignment="1">
      <alignment horizontal="left" vertical="center"/>
      <protection/>
    </xf>
    <xf numFmtId="181" fontId="58" fillId="0" borderId="25" xfId="99" applyNumberFormat="1" applyFont="1" applyFill="1" applyBorder="1" applyAlignment="1">
      <alignment horizontal="left" vertical="center"/>
      <protection/>
    </xf>
    <xf numFmtId="3" fontId="0" fillId="0" borderId="25" xfId="99" applyNumberFormat="1" applyFont="1" applyFill="1" applyBorder="1">
      <alignment/>
      <protection/>
    </xf>
    <xf numFmtId="10" fontId="0" fillId="0" borderId="78" xfId="99" applyNumberFormat="1" applyFont="1" applyFill="1" applyBorder="1">
      <alignment/>
      <protection/>
    </xf>
    <xf numFmtId="0" fontId="0" fillId="0" borderId="22" xfId="99" applyFont="1" applyFill="1" applyBorder="1" applyAlignment="1">
      <alignment vertical="center" wrapText="1"/>
      <protection/>
    </xf>
    <xf numFmtId="3" fontId="0" fillId="0" borderId="22" xfId="99" applyNumberFormat="1" applyFont="1" applyFill="1" applyBorder="1" applyAlignment="1">
      <alignment horizontal="right" vertical="center" wrapText="1"/>
      <protection/>
    </xf>
    <xf numFmtId="0" fontId="0" fillId="0" borderId="22" xfId="99" applyFont="1" applyFill="1" applyBorder="1" applyAlignment="1">
      <alignment vertical="center"/>
      <protection/>
    </xf>
    <xf numFmtId="4" fontId="2" fillId="0" borderId="22" xfId="99" applyNumberFormat="1" applyFont="1" applyFill="1" applyBorder="1" applyAlignment="1">
      <alignment horizontal="left" wrapText="1"/>
      <protection/>
    </xf>
    <xf numFmtId="0" fontId="2" fillId="0" borderId="0" xfId="97" applyFont="1">
      <alignment/>
      <protection/>
    </xf>
    <xf numFmtId="17" fontId="56" fillId="0" borderId="0" xfId="99" applyNumberFormat="1" applyFont="1" applyBorder="1" applyAlignment="1">
      <alignment horizontal="center"/>
      <protection/>
    </xf>
    <xf numFmtId="0" fontId="56" fillId="0" borderId="0" xfId="99" applyFont="1" applyBorder="1" applyAlignment="1">
      <alignment horizontal="center"/>
      <protection/>
    </xf>
    <xf numFmtId="0" fontId="2" fillId="0" borderId="22" xfId="99" applyFont="1" applyFill="1" applyBorder="1" applyAlignment="1">
      <alignment vertical="center" wrapText="1"/>
      <protection/>
    </xf>
    <xf numFmtId="3" fontId="2" fillId="0" borderId="22" xfId="99" applyNumberFormat="1" applyFont="1" applyFill="1" applyBorder="1" applyAlignment="1">
      <alignment horizontal="right" vertical="center" wrapText="1"/>
      <protection/>
    </xf>
    <xf numFmtId="0" fontId="2" fillId="0" borderId="22" xfId="99" applyFont="1" applyFill="1" applyBorder="1" applyAlignment="1">
      <alignment horizontal="center" vertical="center"/>
      <protection/>
    </xf>
    <xf numFmtId="4" fontId="2" fillId="0" borderId="22" xfId="99" applyNumberFormat="1" applyFont="1" applyFill="1" applyBorder="1" applyAlignment="1">
      <alignment horizontal="justify" wrapText="1"/>
      <protection/>
    </xf>
    <xf numFmtId="182" fontId="2" fillId="0" borderId="22" xfId="99" applyNumberFormat="1" applyFont="1" applyFill="1" applyBorder="1" applyAlignment="1">
      <alignment horizontal="right" vertical="center" wrapText="1"/>
      <protection/>
    </xf>
    <xf numFmtId="182" fontId="2" fillId="0" borderId="22" xfId="142" applyNumberFormat="1" applyFont="1" applyFill="1" applyBorder="1" applyAlignment="1">
      <alignment horizontal="right" vertical="center" wrapText="1"/>
    </xf>
    <xf numFmtId="3" fontId="2" fillId="0" borderId="0" xfId="97" applyNumberFormat="1" applyFont="1">
      <alignment/>
      <protection/>
    </xf>
    <xf numFmtId="3" fontId="2" fillId="0" borderId="22" xfId="99" applyNumberFormat="1" applyFont="1" applyFill="1" applyBorder="1" applyAlignment="1">
      <alignment horizontal="right" wrapText="1"/>
      <protection/>
    </xf>
    <xf numFmtId="182" fontId="2" fillId="0" borderId="22" xfId="99" applyNumberFormat="1" applyFont="1" applyFill="1" applyBorder="1" applyAlignment="1">
      <alignment horizontal="right" wrapText="1"/>
      <protection/>
    </xf>
    <xf numFmtId="0" fontId="2" fillId="0" borderId="0" xfId="97" applyFont="1" applyAlignment="1">
      <alignment wrapText="1"/>
      <protection/>
    </xf>
    <xf numFmtId="171" fontId="2" fillId="0" borderId="0" xfId="63" applyFont="1" applyAlignment="1">
      <alignment/>
    </xf>
    <xf numFmtId="4" fontId="2" fillId="0" borderId="0" xfId="97" applyNumberFormat="1" applyFont="1">
      <alignment/>
      <protection/>
    </xf>
    <xf numFmtId="0" fontId="2" fillId="0" borderId="22" xfId="99" applyFont="1" applyFill="1" applyBorder="1" applyAlignment="1">
      <alignment horizontal="left" wrapText="1"/>
      <protection/>
    </xf>
    <xf numFmtId="0" fontId="2" fillId="0" borderId="0" xfId="119" applyFont="1">
      <alignment/>
      <protection/>
    </xf>
    <xf numFmtId="0" fontId="2" fillId="0" borderId="0" xfId="0" applyFont="1" applyAlignment="1">
      <alignment/>
    </xf>
    <xf numFmtId="0" fontId="56" fillId="0" borderId="0" xfId="119" applyFont="1">
      <alignment/>
      <protection/>
    </xf>
    <xf numFmtId="0" fontId="2" fillId="0" borderId="0" xfId="97" applyFont="1" applyAlignment="1">
      <alignment horizontal="right"/>
      <protection/>
    </xf>
    <xf numFmtId="0" fontId="5" fillId="0" borderId="0" xfId="128" applyFont="1" applyFill="1">
      <alignment/>
      <protection/>
    </xf>
    <xf numFmtId="0" fontId="49" fillId="0" borderId="0" xfId="128" applyFont="1" applyFill="1" applyBorder="1" applyAlignment="1">
      <alignment horizontal="center"/>
      <protection/>
    </xf>
    <xf numFmtId="0" fontId="49" fillId="0" borderId="0" xfId="135" applyFont="1" applyFill="1" applyBorder="1" applyAlignment="1">
      <alignment horizontal="center"/>
      <protection/>
    </xf>
    <xf numFmtId="4" fontId="49" fillId="0" borderId="22" xfId="128" applyNumberFormat="1" applyFont="1" applyFill="1" applyBorder="1" applyAlignment="1">
      <alignment horizontal="center" vertical="center" wrapText="1"/>
      <protection/>
    </xf>
    <xf numFmtId="4" fontId="5" fillId="0" borderId="22" xfId="128" applyNumberFormat="1" applyFont="1" applyFill="1" applyBorder="1">
      <alignment/>
      <protection/>
    </xf>
    <xf numFmtId="181" fontId="5" fillId="0" borderId="0" xfId="128" applyNumberFormat="1" applyFont="1" applyFill="1">
      <alignment/>
      <protection/>
    </xf>
    <xf numFmtId="4" fontId="5" fillId="0" borderId="0" xfId="128" applyNumberFormat="1" applyFont="1" applyFill="1">
      <alignment/>
      <protection/>
    </xf>
    <xf numFmtId="2" fontId="5" fillId="0" borderId="0" xfId="128" applyNumberFormat="1" applyFont="1" applyFill="1">
      <alignment/>
      <protection/>
    </xf>
    <xf numFmtId="0" fontId="72" fillId="0" borderId="0" xfId="128" applyFont="1" applyFill="1" applyAlignment="1">
      <alignment horizontal="right" vertical="top"/>
      <protection/>
    </xf>
    <xf numFmtId="0" fontId="49" fillId="0" borderId="22" xfId="128" applyFont="1" applyFill="1" applyBorder="1" applyAlignment="1">
      <alignment horizontal="center" vertical="center"/>
      <protection/>
    </xf>
    <xf numFmtId="3" fontId="49" fillId="0" borderId="22" xfId="128" applyNumberFormat="1" applyFont="1" applyFill="1" applyBorder="1" applyAlignment="1">
      <alignment horizontal="center" vertical="center"/>
      <protection/>
    </xf>
    <xf numFmtId="0" fontId="49" fillId="0" borderId="22" xfId="128" applyFont="1" applyFill="1" applyBorder="1" applyAlignment="1">
      <alignment horizontal="center" vertical="center" wrapText="1"/>
      <protection/>
    </xf>
    <xf numFmtId="0" fontId="5" fillId="0" borderId="22" xfId="128" applyFont="1" applyFill="1" applyBorder="1" applyAlignment="1">
      <alignment horizontal="left"/>
      <protection/>
    </xf>
    <xf numFmtId="4" fontId="5" fillId="0" borderId="22" xfId="128" applyNumberFormat="1" applyFont="1" applyFill="1" applyBorder="1" applyAlignment="1">
      <alignment horizontal="right"/>
      <protection/>
    </xf>
    <xf numFmtId="181" fontId="5" fillId="0" borderId="22" xfId="128" applyNumberFormat="1" applyFont="1" applyFill="1" applyBorder="1">
      <alignment/>
      <protection/>
    </xf>
    <xf numFmtId="0" fontId="49" fillId="0" borderId="22" xfId="128" applyFont="1" applyFill="1" applyBorder="1" applyAlignment="1">
      <alignment horizontal="left"/>
      <protection/>
    </xf>
    <xf numFmtId="4" fontId="49" fillId="0" borderId="22" xfId="128" applyNumberFormat="1" applyFont="1" applyFill="1" applyBorder="1" applyAlignment="1">
      <alignment horizontal="right"/>
      <protection/>
    </xf>
    <xf numFmtId="4" fontId="49" fillId="0" borderId="22" xfId="128" applyNumberFormat="1" applyFont="1" applyFill="1" applyBorder="1" applyAlignment="1">
      <alignment/>
      <protection/>
    </xf>
    <xf numFmtId="181" fontId="49" fillId="0" borderId="22" xfId="128" applyNumberFormat="1" applyFont="1" applyFill="1" applyBorder="1" applyAlignment="1">
      <alignment/>
      <protection/>
    </xf>
    <xf numFmtId="0" fontId="2" fillId="0" borderId="0" xfId="99" applyFont="1">
      <alignment/>
      <protection/>
    </xf>
    <xf numFmtId="0" fontId="2" fillId="0" borderId="0" xfId="99" applyFont="1" applyBorder="1" applyAlignment="1">
      <alignment/>
      <protection/>
    </xf>
    <xf numFmtId="0" fontId="2" fillId="0" borderId="22" xfId="99" applyFont="1" applyBorder="1">
      <alignment/>
      <protection/>
    </xf>
    <xf numFmtId="0" fontId="2" fillId="0" borderId="22" xfId="99" applyFont="1" applyBorder="1" applyAlignment="1">
      <alignment horizontal="center" vertical="center" wrapText="1"/>
      <protection/>
    </xf>
    <xf numFmtId="0" fontId="2" fillId="0" borderId="0" xfId="99" applyFont="1" applyBorder="1" applyAlignment="1">
      <alignment horizontal="center" vertical="center" wrapText="1"/>
      <protection/>
    </xf>
    <xf numFmtId="3" fontId="2" fillId="0" borderId="22" xfId="0" applyNumberFormat="1" applyFont="1" applyBorder="1" applyAlignment="1">
      <alignment vertical="center"/>
    </xf>
    <xf numFmtId="3" fontId="2" fillId="0" borderId="22" xfId="99" applyNumberFormat="1" applyFont="1" applyBorder="1">
      <alignment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14" fontId="5" fillId="0" borderId="22" xfId="0" applyNumberFormat="1" applyFont="1" applyFill="1" applyBorder="1" applyAlignment="1">
      <alignment horizontal="center"/>
    </xf>
    <xf numFmtId="3" fontId="5" fillId="0" borderId="22" xfId="122" applyNumberFormat="1" applyFont="1" applyFill="1" applyBorder="1" applyAlignment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5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/>
    </xf>
    <xf numFmtId="3" fontId="5" fillId="0" borderId="22" xfId="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2" fillId="0" borderId="0" xfId="99" applyFont="1" applyFill="1" applyAlignment="1">
      <alignment vertical="center"/>
      <protection/>
    </xf>
    <xf numFmtId="0" fontId="56" fillId="56" borderId="22" xfId="0" applyFont="1" applyFill="1" applyBorder="1" applyAlignment="1">
      <alignment horizontal="center" vertical="center" wrapText="1"/>
    </xf>
    <xf numFmtId="1" fontId="56" fillId="56" borderId="22" xfId="0" applyNumberFormat="1" applyFont="1" applyFill="1" applyBorder="1" applyAlignment="1">
      <alignment horizontal="center" vertical="center" wrapText="1"/>
    </xf>
    <xf numFmtId="0" fontId="56" fillId="55" borderId="22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vertical="center" wrapText="1"/>
    </xf>
    <xf numFmtId="49" fontId="2" fillId="55" borderId="22" xfId="0" applyNumberFormat="1" applyFont="1" applyFill="1" applyBorder="1" applyAlignment="1">
      <alignment horizontal="center" vertical="center"/>
    </xf>
    <xf numFmtId="3" fontId="2" fillId="55" borderId="22" xfId="0" applyNumberFormat="1" applyFont="1" applyFill="1" applyBorder="1" applyAlignment="1">
      <alignment horizontal="right" vertical="center" indent="1"/>
    </xf>
    <xf numFmtId="3" fontId="56" fillId="55" borderId="22" xfId="0" applyNumberFormat="1" applyFont="1" applyFill="1" applyBorder="1" applyAlignment="1">
      <alignment horizontal="right" vertical="center" indent="1"/>
    </xf>
    <xf numFmtId="0" fontId="2" fillId="55" borderId="22" xfId="0" applyNumberFormat="1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vertical="center"/>
    </xf>
    <xf numFmtId="0" fontId="2" fillId="55" borderId="22" xfId="0" applyFont="1" applyFill="1" applyBorder="1" applyAlignment="1">
      <alignment horizontal="center" vertical="center" wrapText="1"/>
    </xf>
    <xf numFmtId="0" fontId="2" fillId="0" borderId="0" xfId="99" applyFont="1" applyAlignment="1">
      <alignment/>
      <protection/>
    </xf>
    <xf numFmtId="0" fontId="2" fillId="55" borderId="22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/>
    </xf>
    <xf numFmtId="3" fontId="56" fillId="0" borderId="22" xfId="0" applyNumberFormat="1" applyFont="1" applyFill="1" applyBorder="1" applyAlignment="1">
      <alignment horizontal="right" vertical="center" indent="1"/>
    </xf>
    <xf numFmtId="0" fontId="56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/>
    </xf>
    <xf numFmtId="3" fontId="56" fillId="0" borderId="0" xfId="0" applyNumberFormat="1" applyFont="1" applyFill="1" applyBorder="1" applyAlignment="1">
      <alignment horizontal="right" vertical="center" indent="1"/>
    </xf>
    <xf numFmtId="0" fontId="30" fillId="0" borderId="0" xfId="99" applyFont="1" applyFill="1" applyBorder="1" applyAlignment="1">
      <alignment horizontal="left"/>
      <protection/>
    </xf>
    <xf numFmtId="0" fontId="2" fillId="0" borderId="0" xfId="99" applyFont="1" applyFill="1" applyBorder="1" applyAlignment="1">
      <alignment horizontal="left"/>
      <protection/>
    </xf>
    <xf numFmtId="3" fontId="2" fillId="0" borderId="0" xfId="99" applyNumberFormat="1" applyFont="1" applyFill="1" applyBorder="1">
      <alignment/>
      <protection/>
    </xf>
    <xf numFmtId="0" fontId="30" fillId="0" borderId="0" xfId="99" applyFont="1" applyBorder="1" applyAlignment="1">
      <alignment horizontal="center"/>
      <protection/>
    </xf>
    <xf numFmtId="0" fontId="30" fillId="56" borderId="0" xfId="99" applyFont="1" applyFill="1" applyBorder="1" applyAlignment="1">
      <alignment horizontal="left" vertical="top" wrapText="1"/>
      <protection/>
    </xf>
    <xf numFmtId="0" fontId="2" fillId="0" borderId="0" xfId="99" applyFont="1" applyAlignment="1">
      <alignment horizontal="right"/>
      <protection/>
    </xf>
    <xf numFmtId="0" fontId="2" fillId="0" borderId="0" xfId="99" applyFont="1" applyAlignment="1">
      <alignment horizontal="right" vertical="top"/>
      <protection/>
    </xf>
    <xf numFmtId="3" fontId="2" fillId="56" borderId="0" xfId="99" applyNumberFormat="1" applyFont="1" applyFill="1" applyBorder="1" applyAlignment="1">
      <alignment horizontal="right" vertical="center"/>
      <protection/>
    </xf>
    <xf numFmtId="1" fontId="2" fillId="0" borderId="0" xfId="99" applyNumberFormat="1" applyFont="1" applyFill="1" applyAlignment="1">
      <alignment horizontal="right"/>
      <protection/>
    </xf>
    <xf numFmtId="0" fontId="30" fillId="0" borderId="0" xfId="99" applyFont="1" applyFill="1" applyBorder="1" applyAlignment="1">
      <alignment horizontal="center"/>
      <protection/>
    </xf>
    <xf numFmtId="0" fontId="30" fillId="0" borderId="0" xfId="99" applyFont="1" applyFill="1" applyBorder="1" applyAlignment="1">
      <alignment/>
      <protection/>
    </xf>
    <xf numFmtId="0" fontId="30" fillId="0" borderId="0" xfId="99" applyFont="1" applyFill="1" applyBorder="1" applyAlignment="1">
      <alignment horizontal="left" wrapText="1"/>
      <protection/>
    </xf>
    <xf numFmtId="0" fontId="49" fillId="0" borderId="22" xfId="99" applyFont="1" applyFill="1" applyBorder="1" applyAlignment="1">
      <alignment horizontal="center" vertical="center" wrapText="1"/>
      <protection/>
    </xf>
    <xf numFmtId="4" fontId="49" fillId="0" borderId="22" xfId="99" applyNumberFormat="1" applyFont="1" applyFill="1" applyBorder="1" applyAlignment="1">
      <alignment horizontal="center" vertical="center" wrapText="1"/>
      <protection/>
    </xf>
    <xf numFmtId="3" fontId="0" fillId="0" borderId="79" xfId="99" applyNumberFormat="1" applyFont="1" applyFill="1" applyBorder="1" applyAlignment="1">
      <alignment horizontal="right" vertical="center"/>
      <protection/>
    </xf>
    <xf numFmtId="3" fontId="0" fillId="0" borderId="79" xfId="99" applyNumberFormat="1" applyFont="1" applyFill="1" applyBorder="1" applyAlignment="1">
      <alignment horizontal="center" vertical="center" wrapText="1"/>
      <protection/>
    </xf>
    <xf numFmtId="3" fontId="0" fillId="0" borderId="22" xfId="99" applyNumberFormat="1" applyFont="1" applyFill="1" applyBorder="1" applyAlignment="1">
      <alignment vertical="center"/>
      <protection/>
    </xf>
    <xf numFmtId="14" fontId="0" fillId="0" borderId="22" xfId="0" applyNumberFormat="1" applyFont="1" applyFill="1" applyBorder="1" applyAlignment="1">
      <alignment vertical="center"/>
    </xf>
    <xf numFmtId="0" fontId="0" fillId="0" borderId="79" xfId="99" applyFont="1" applyFill="1" applyBorder="1" applyAlignment="1">
      <alignment horizontal="center" vertical="center" wrapText="1"/>
      <protection/>
    </xf>
    <xf numFmtId="0" fontId="0" fillId="0" borderId="22" xfId="99" applyFont="1" applyFill="1" applyBorder="1" applyAlignment="1">
      <alignment horizontal="right" vertical="center" wrapText="1"/>
      <protection/>
    </xf>
    <xf numFmtId="3" fontId="0" fillId="0" borderId="22" xfId="99" applyNumberFormat="1" applyFont="1" applyFill="1" applyBorder="1" applyAlignment="1">
      <alignment horizontal="center" vertical="center" wrapText="1"/>
      <protection/>
    </xf>
    <xf numFmtId="14" fontId="0" fillId="0" borderId="20" xfId="0" applyNumberFormat="1" applyFont="1" applyFill="1" applyBorder="1" applyAlignment="1">
      <alignment vertical="center"/>
    </xf>
    <xf numFmtId="14" fontId="0" fillId="0" borderId="22" xfId="99" applyNumberFormat="1" applyFont="1" applyFill="1" applyBorder="1" applyAlignment="1">
      <alignment horizontal="right" vertical="center" wrapText="1"/>
      <protection/>
    </xf>
    <xf numFmtId="14" fontId="0" fillId="0" borderId="22" xfId="0" applyNumberFormat="1" applyFont="1" applyFill="1" applyBorder="1" applyAlignment="1">
      <alignment horizontal="right" vertical="center" wrapText="1"/>
    </xf>
    <xf numFmtId="0" fontId="0" fillId="0" borderId="22" xfId="99" applyFont="1" applyFill="1" applyBorder="1" applyAlignment="1">
      <alignment horizontal="center" vertical="center" wrapText="1"/>
      <protection/>
    </xf>
    <xf numFmtId="4" fontId="0" fillId="0" borderId="46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14" fontId="0" fillId="0" borderId="20" xfId="99" applyNumberFormat="1" applyFont="1" applyFill="1" applyBorder="1" applyAlignment="1">
      <alignment horizontal="right" vertical="center" wrapText="1"/>
      <protection/>
    </xf>
    <xf numFmtId="0" fontId="0" fillId="0" borderId="26" xfId="99" applyFont="1" applyFill="1" applyBorder="1" applyAlignment="1">
      <alignment horizontal="center" vertical="center" wrapText="1"/>
      <protection/>
    </xf>
    <xf numFmtId="0" fontId="0" fillId="0" borderId="25" xfId="99" applyFont="1" applyFill="1" applyBorder="1" applyAlignment="1">
      <alignment horizontal="right" vertical="center" wrapText="1"/>
      <protection/>
    </xf>
    <xf numFmtId="3" fontId="0" fillId="0" borderId="25" xfId="99" applyNumberFormat="1" applyFont="1" applyFill="1" applyBorder="1" applyAlignment="1">
      <alignment horizontal="right" vertical="center" wrapText="1"/>
      <protection/>
    </xf>
    <xf numFmtId="14" fontId="0" fillId="0" borderId="25" xfId="0" applyNumberFormat="1" applyFont="1" applyFill="1" applyBorder="1" applyAlignment="1">
      <alignment vertical="center"/>
    </xf>
    <xf numFmtId="14" fontId="0" fillId="0" borderId="22" xfId="0" applyNumberFormat="1" applyFont="1" applyFill="1" applyBorder="1" applyAlignment="1">
      <alignment horizontal="right" vertical="center"/>
    </xf>
    <xf numFmtId="4" fontId="0" fillId="0" borderId="26" xfId="99" applyNumberFormat="1" applyFont="1" applyFill="1" applyBorder="1" applyAlignment="1">
      <alignment vertical="center"/>
      <protection/>
    </xf>
    <xf numFmtId="4" fontId="0" fillId="0" borderId="25" xfId="99" applyNumberFormat="1" applyFont="1" applyFill="1" applyBorder="1" applyAlignment="1">
      <alignment horizontal="right" vertical="center"/>
      <protection/>
    </xf>
    <xf numFmtId="3" fontId="0" fillId="0" borderId="25" xfId="99" applyNumberFormat="1" applyFont="1" applyFill="1" applyBorder="1" applyAlignment="1">
      <alignment horizontal="right" vertical="center"/>
      <protection/>
    </xf>
    <xf numFmtId="0" fontId="0" fillId="0" borderId="0" xfId="99" applyFont="1" applyFill="1" applyBorder="1" applyAlignment="1">
      <alignment vertical="top"/>
      <protection/>
    </xf>
    <xf numFmtId="0" fontId="0" fillId="0" borderId="79" xfId="99" applyFont="1" applyFill="1" applyBorder="1" applyAlignment="1">
      <alignment vertical="center"/>
      <protection/>
    </xf>
    <xf numFmtId="14" fontId="89" fillId="0" borderId="22" xfId="0" applyNumberFormat="1" applyFont="1" applyFill="1" applyBorder="1" applyAlignment="1">
      <alignment vertical="center"/>
    </xf>
    <xf numFmtId="0" fontId="89" fillId="0" borderId="79" xfId="99" applyFont="1" applyFill="1" applyBorder="1" applyAlignment="1">
      <alignment horizontal="center" vertical="center"/>
      <protection/>
    </xf>
    <xf numFmtId="14" fontId="89" fillId="0" borderId="22" xfId="99" applyNumberFormat="1" applyFont="1" applyFill="1" applyBorder="1" applyAlignment="1">
      <alignment vertical="center"/>
      <protection/>
    </xf>
    <xf numFmtId="3" fontId="89" fillId="0" borderId="22" xfId="99" applyNumberFormat="1" applyFont="1" applyFill="1" applyBorder="1" applyAlignment="1">
      <alignment vertical="center"/>
      <protection/>
    </xf>
    <xf numFmtId="0" fontId="0" fillId="0" borderId="0" xfId="99" applyFont="1" applyFill="1" applyBorder="1" applyAlignment="1">
      <alignment/>
      <protection/>
    </xf>
    <xf numFmtId="0" fontId="0" fillId="0" borderId="79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wrapText="1"/>
      <protection/>
    </xf>
    <xf numFmtId="0" fontId="0" fillId="0" borderId="46" xfId="0" applyFont="1" applyFill="1" applyBorder="1" applyAlignment="1">
      <alignment vertical="center"/>
    </xf>
    <xf numFmtId="0" fontId="0" fillId="0" borderId="0" xfId="99" applyFont="1" applyFill="1" applyBorder="1" applyAlignment="1">
      <alignment vertical="top" wrapText="1"/>
      <protection/>
    </xf>
    <xf numFmtId="0" fontId="0" fillId="0" borderId="26" xfId="0" applyFont="1" applyFill="1" applyBorder="1" applyAlignment="1">
      <alignment horizontal="center" vertical="center" wrapText="1"/>
    </xf>
    <xf numFmtId="14" fontId="0" fillId="0" borderId="25" xfId="0" applyNumberFormat="1" applyFont="1" applyFill="1" applyBorder="1" applyAlignment="1">
      <alignment horizontal="right" vertical="center" wrapText="1"/>
    </xf>
    <xf numFmtId="14" fontId="0" fillId="0" borderId="25" xfId="0" applyNumberFormat="1" applyFill="1" applyBorder="1" applyAlignment="1">
      <alignment vertical="center"/>
    </xf>
    <xf numFmtId="0" fontId="0" fillId="0" borderId="24" xfId="99" applyFont="1" applyFill="1" applyBorder="1" applyAlignment="1">
      <alignment horizontal="center" vertical="center" wrapText="1"/>
      <protection/>
    </xf>
    <xf numFmtId="0" fontId="0" fillId="0" borderId="21" xfId="99" applyFont="1" applyFill="1" applyBorder="1" applyAlignment="1">
      <alignment horizontal="right" vertical="center" wrapText="1"/>
      <protection/>
    </xf>
    <xf numFmtId="3" fontId="0" fillId="0" borderId="21" xfId="99" applyNumberFormat="1" applyFont="1" applyFill="1" applyBorder="1" applyAlignment="1">
      <alignment horizontal="right" vertical="center" wrapText="1"/>
      <protection/>
    </xf>
    <xf numFmtId="14" fontId="0" fillId="0" borderId="25" xfId="99" applyNumberFormat="1" applyFont="1" applyFill="1" applyBorder="1" applyAlignment="1">
      <alignment horizontal="right" vertical="center" wrapText="1"/>
      <protection/>
    </xf>
    <xf numFmtId="0" fontId="0" fillId="0" borderId="79" xfId="99" applyFont="1" applyFill="1" applyBorder="1" applyAlignment="1">
      <alignment horizontal="center" vertical="center"/>
      <protection/>
    </xf>
    <xf numFmtId="0" fontId="0" fillId="0" borderId="22" xfId="99" applyFont="1" applyFill="1" applyBorder="1" applyAlignment="1">
      <alignment horizontal="right" vertical="center"/>
      <protection/>
    </xf>
    <xf numFmtId="3" fontId="0" fillId="0" borderId="22" xfId="99" applyNumberFormat="1" applyFont="1" applyFill="1" applyBorder="1" applyAlignment="1">
      <alignment horizontal="right" vertical="center"/>
      <protection/>
    </xf>
    <xf numFmtId="0" fontId="0" fillId="0" borderId="0" xfId="99" applyFont="1" applyFill="1" applyBorder="1" applyAlignment="1">
      <alignment vertical="center"/>
      <protection/>
    </xf>
    <xf numFmtId="3" fontId="0" fillId="0" borderId="20" xfId="99" applyNumberFormat="1" applyFont="1" applyFill="1" applyBorder="1" applyAlignment="1">
      <alignment horizontal="right" vertical="center"/>
      <protection/>
    </xf>
    <xf numFmtId="4" fontId="0" fillId="0" borderId="22" xfId="0" applyNumberFormat="1" applyFont="1" applyFill="1" applyBorder="1" applyAlignment="1">
      <alignment vertical="center" wrapText="1"/>
    </xf>
    <xf numFmtId="14" fontId="0" fillId="0" borderId="22" xfId="99" applyNumberFormat="1" applyFont="1" applyFill="1" applyBorder="1" applyAlignment="1">
      <alignment horizontal="center" vertical="center" wrapText="1"/>
      <protection/>
    </xf>
    <xf numFmtId="14" fontId="0" fillId="0" borderId="25" xfId="99" applyNumberFormat="1" applyFont="1" applyFill="1" applyBorder="1" applyAlignment="1">
      <alignment horizontal="center" vertical="center" wrapText="1"/>
      <protection/>
    </xf>
    <xf numFmtId="3" fontId="0" fillId="0" borderId="25" xfId="99" applyNumberFormat="1" applyFont="1" applyFill="1" applyBorder="1" applyAlignment="1">
      <alignment horizontal="center" vertical="center" wrapText="1"/>
      <protection/>
    </xf>
    <xf numFmtId="0" fontId="89" fillId="0" borderId="79" xfId="99" applyFont="1" applyFill="1" applyBorder="1" applyAlignment="1">
      <alignment horizontal="center" vertical="center" wrapText="1"/>
      <protection/>
    </xf>
    <xf numFmtId="14" fontId="89" fillId="0" borderId="22" xfId="99" applyNumberFormat="1" applyFont="1" applyFill="1" applyBorder="1" applyAlignment="1">
      <alignment horizontal="center" vertical="center" wrapText="1"/>
      <protection/>
    </xf>
    <xf numFmtId="0" fontId="49" fillId="0" borderId="73" xfId="99" applyFont="1" applyFill="1" applyBorder="1">
      <alignment/>
      <protection/>
    </xf>
    <xf numFmtId="0" fontId="49" fillId="0" borderId="46" xfId="99" applyFont="1" applyFill="1" applyBorder="1">
      <alignment/>
      <protection/>
    </xf>
    <xf numFmtId="0" fontId="49" fillId="0" borderId="46" xfId="99" applyFont="1" applyFill="1" applyBorder="1" applyAlignment="1">
      <alignment horizontal="right"/>
      <protection/>
    </xf>
    <xf numFmtId="0" fontId="49" fillId="0" borderId="46" xfId="99" applyFont="1" applyFill="1" applyBorder="1" applyAlignment="1">
      <alignment horizontal="center"/>
      <protection/>
    </xf>
    <xf numFmtId="3" fontId="49" fillId="0" borderId="22" xfId="99" applyNumberFormat="1" applyFont="1" applyFill="1" applyBorder="1" applyAlignment="1">
      <alignment horizontal="right"/>
      <protection/>
    </xf>
    <xf numFmtId="4" fontId="49" fillId="0" borderId="22" xfId="99" applyNumberFormat="1" applyFont="1" applyFill="1" applyBorder="1" applyAlignment="1">
      <alignment horizontal="right"/>
      <protection/>
    </xf>
    <xf numFmtId="4" fontId="49" fillId="0" borderId="79" xfId="99" applyNumberFormat="1" applyFont="1" applyFill="1" applyBorder="1" applyAlignment="1">
      <alignment horizontal="right"/>
      <protection/>
    </xf>
    <xf numFmtId="3" fontId="49" fillId="0" borderId="73" xfId="99" applyNumberFormat="1" applyFont="1" applyFill="1" applyBorder="1" applyAlignment="1">
      <alignment horizontal="right"/>
      <protection/>
    </xf>
    <xf numFmtId="3" fontId="49" fillId="0" borderId="22" xfId="99" applyNumberFormat="1" applyFont="1" applyFill="1" applyBorder="1" applyAlignment="1">
      <alignment/>
      <protection/>
    </xf>
    <xf numFmtId="3" fontId="49" fillId="0" borderId="73" xfId="99" applyNumberFormat="1" applyFont="1" applyFill="1" applyBorder="1" applyAlignment="1">
      <alignment/>
      <protection/>
    </xf>
    <xf numFmtId="4" fontId="49" fillId="0" borderId="73" xfId="99" applyNumberFormat="1" applyFont="1" applyFill="1" applyBorder="1" applyAlignment="1">
      <alignment/>
      <protection/>
    </xf>
    <xf numFmtId="3" fontId="49" fillId="0" borderId="79" xfId="99" applyNumberFormat="1" applyFont="1" applyFill="1" applyBorder="1" applyAlignment="1">
      <alignment/>
      <protection/>
    </xf>
    <xf numFmtId="0" fontId="5" fillId="0" borderId="0" xfId="99" applyFont="1" applyFill="1" applyBorder="1">
      <alignment/>
      <protection/>
    </xf>
    <xf numFmtId="0" fontId="0" fillId="0" borderId="22" xfId="99" applyFont="1" applyFill="1" applyBorder="1" applyAlignment="1">
      <alignment horizontal="left" vertical="center"/>
      <protection/>
    </xf>
    <xf numFmtId="0" fontId="0" fillId="0" borderId="22" xfId="99" applyFont="1" applyFill="1" applyBorder="1" applyAlignment="1">
      <alignment horizontal="center" vertical="center"/>
      <protection/>
    </xf>
    <xf numFmtId="0" fontId="0" fillId="0" borderId="22" xfId="99" applyFont="1" applyFill="1" applyBorder="1" applyAlignment="1">
      <alignment horizontal="left" vertical="center" wrapText="1"/>
      <protection/>
    </xf>
    <xf numFmtId="0" fontId="0" fillId="0" borderId="22" xfId="99" applyNumberFormat="1" applyFont="1" applyFill="1" applyBorder="1" applyAlignment="1">
      <alignment horizontal="right" vertical="center" wrapText="1"/>
      <protection/>
    </xf>
    <xf numFmtId="49" fontId="0" fillId="0" borderId="22" xfId="99" applyNumberFormat="1" applyFont="1" applyFill="1" applyBorder="1" applyAlignment="1">
      <alignment horizontal="center" vertical="center" wrapText="1"/>
      <protection/>
    </xf>
    <xf numFmtId="4" fontId="0" fillId="0" borderId="22" xfId="99" applyNumberFormat="1" applyFont="1" applyFill="1" applyBorder="1" applyAlignment="1">
      <alignment horizontal="right" vertical="center" wrapText="1"/>
      <protection/>
    </xf>
    <xf numFmtId="0" fontId="0" fillId="0" borderId="20" xfId="99" applyFont="1" applyFill="1" applyBorder="1" applyAlignment="1">
      <alignment vertical="center"/>
      <protection/>
    </xf>
    <xf numFmtId="0" fontId="0" fillId="0" borderId="20" xfId="99" applyFont="1" applyFill="1" applyBorder="1" applyAlignment="1">
      <alignment horizontal="center" vertical="center"/>
      <protection/>
    </xf>
    <xf numFmtId="0" fontId="0" fillId="0" borderId="20" xfId="99" applyFont="1" applyFill="1" applyBorder="1" applyAlignment="1">
      <alignment horizontal="left" vertical="center" wrapText="1"/>
      <protection/>
    </xf>
    <xf numFmtId="0" fontId="0" fillId="0" borderId="20" xfId="99" applyFont="1" applyFill="1" applyBorder="1" applyAlignment="1">
      <alignment horizontal="right" vertical="center"/>
      <protection/>
    </xf>
    <xf numFmtId="0" fontId="49" fillId="0" borderId="73" xfId="99" applyFont="1" applyFill="1" applyBorder="1" applyAlignment="1">
      <alignment vertical="top" wrapText="1"/>
      <protection/>
    </xf>
    <xf numFmtId="0" fontId="5" fillId="0" borderId="46" xfId="99" applyFont="1" applyFill="1" applyBorder="1">
      <alignment/>
      <protection/>
    </xf>
    <xf numFmtId="0" fontId="5" fillId="0" borderId="46" xfId="99" applyFont="1" applyFill="1" applyBorder="1" applyAlignment="1">
      <alignment horizontal="center"/>
      <protection/>
    </xf>
    <xf numFmtId="4" fontId="49" fillId="0" borderId="46" xfId="99" applyNumberFormat="1" applyFont="1" applyFill="1" applyBorder="1">
      <alignment/>
      <protection/>
    </xf>
    <xf numFmtId="4" fontId="49" fillId="0" borderId="79" xfId="99" applyNumberFormat="1" applyFont="1" applyFill="1" applyBorder="1">
      <alignment/>
      <protection/>
    </xf>
    <xf numFmtId="3" fontId="49" fillId="0" borderId="46" xfId="99" applyNumberFormat="1" applyFont="1" applyFill="1" applyBorder="1">
      <alignment/>
      <protection/>
    </xf>
    <xf numFmtId="3" fontId="49" fillId="0" borderId="22" xfId="99" applyNumberFormat="1" applyFont="1" applyFill="1" applyBorder="1">
      <alignment/>
      <protection/>
    </xf>
    <xf numFmtId="3" fontId="49" fillId="0" borderId="73" xfId="99" applyNumberFormat="1" applyFont="1" applyFill="1" applyBorder="1">
      <alignment/>
      <protection/>
    </xf>
    <xf numFmtId="0" fontId="69" fillId="0" borderId="0" xfId="99" applyFont="1" applyFill="1">
      <alignment/>
      <protection/>
    </xf>
    <xf numFmtId="4" fontId="0" fillId="0" borderId="0" xfId="99" applyNumberFormat="1" applyFill="1" applyBorder="1">
      <alignment/>
      <protection/>
    </xf>
    <xf numFmtId="0" fontId="70" fillId="0" borderId="0" xfId="99" applyFont="1" applyFill="1" applyBorder="1" applyAlignment="1">
      <alignment/>
      <protection/>
    </xf>
    <xf numFmtId="0" fontId="31" fillId="0" borderId="0" xfId="99" applyFont="1" applyFill="1" applyBorder="1">
      <alignment/>
      <protection/>
    </xf>
    <xf numFmtId="0" fontId="0" fillId="0" borderId="0" xfId="99" applyFill="1" applyAlignment="1">
      <alignment horizontal="center"/>
      <protection/>
    </xf>
    <xf numFmtId="0" fontId="70" fillId="0" borderId="0" xfId="99" applyFont="1" applyFill="1" applyBorder="1" applyAlignment="1">
      <alignment horizontal="left" vertical="top"/>
      <protection/>
    </xf>
    <xf numFmtId="0" fontId="70" fillId="0" borderId="0" xfId="99" applyFont="1" applyFill="1" applyBorder="1" applyAlignment="1">
      <alignment horizontal="center"/>
      <protection/>
    </xf>
    <xf numFmtId="0" fontId="49" fillId="0" borderId="0" xfId="99" applyFont="1" applyFill="1">
      <alignment/>
      <protection/>
    </xf>
    <xf numFmtId="49" fontId="49" fillId="0" borderId="0" xfId="99" applyNumberFormat="1" applyFont="1" applyFill="1">
      <alignment/>
      <protection/>
    </xf>
    <xf numFmtId="4" fontId="49" fillId="0" borderId="0" xfId="99" applyNumberFormat="1" applyFont="1" applyFill="1" applyBorder="1" applyAlignment="1">
      <alignment vertical="center" wrapText="1"/>
      <protection/>
    </xf>
    <xf numFmtId="4" fontId="49" fillId="0" borderId="0" xfId="99" applyNumberFormat="1" applyFont="1" applyFill="1" applyBorder="1" applyAlignment="1">
      <alignment horizontal="center" vertical="center" wrapText="1"/>
      <protection/>
    </xf>
    <xf numFmtId="4" fontId="49" fillId="0" borderId="0" xfId="99" applyNumberFormat="1" applyFont="1" applyFill="1" applyBorder="1" applyAlignment="1">
      <alignment horizontal="center" vertical="center"/>
      <protection/>
    </xf>
    <xf numFmtId="4" fontId="5" fillId="0" borderId="0" xfId="99" applyNumberFormat="1" applyFont="1" applyFill="1" applyBorder="1" applyAlignment="1">
      <alignment vertical="top" wrapText="1"/>
      <protection/>
    </xf>
    <xf numFmtId="4" fontId="0" fillId="0" borderId="0" xfId="99" applyNumberFormat="1" applyFont="1" applyFill="1" applyBorder="1" applyAlignment="1">
      <alignment horizontal="right" vertical="top" wrapText="1"/>
      <protection/>
    </xf>
    <xf numFmtId="4" fontId="0" fillId="0" borderId="0" xfId="99" applyNumberFormat="1" applyFill="1" applyBorder="1" applyAlignment="1">
      <alignment vertical="top"/>
      <protection/>
    </xf>
    <xf numFmtId="4" fontId="0" fillId="0" borderId="0" xfId="99" applyNumberFormat="1" applyFont="1" applyFill="1" applyBorder="1" applyAlignment="1">
      <alignment vertical="top"/>
      <protection/>
    </xf>
    <xf numFmtId="4" fontId="71" fillId="0" borderId="0" xfId="99" applyNumberFormat="1" applyFont="1" applyFill="1" applyBorder="1">
      <alignment/>
      <protection/>
    </xf>
    <xf numFmtId="0" fontId="58" fillId="0" borderId="0" xfId="0" applyFont="1" applyFill="1" applyAlignment="1">
      <alignment horizontal="justify" wrapText="1"/>
    </xf>
    <xf numFmtId="0" fontId="58" fillId="0" borderId="0" xfId="0" applyFont="1" applyFill="1" applyAlignment="1">
      <alignment wrapText="1"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wrapText="1"/>
    </xf>
    <xf numFmtId="49" fontId="56" fillId="0" borderId="22" xfId="99" applyNumberFormat="1" applyFont="1" applyFill="1" applyBorder="1" applyAlignment="1">
      <alignment horizontal="center" vertical="center"/>
      <protection/>
    </xf>
    <xf numFmtId="0" fontId="58" fillId="0" borderId="73" xfId="99" applyFont="1" applyFill="1" applyBorder="1" applyAlignment="1">
      <alignment horizontal="center" vertical="center" wrapText="1"/>
      <protection/>
    </xf>
    <xf numFmtId="0" fontId="0" fillId="0" borderId="46" xfId="99" applyFill="1" applyBorder="1" applyAlignment="1">
      <alignment/>
      <protection/>
    </xf>
    <xf numFmtId="0" fontId="0" fillId="0" borderId="79" xfId="99" applyFill="1" applyBorder="1" applyAlignment="1">
      <alignment/>
      <protection/>
    </xf>
    <xf numFmtId="17" fontId="56" fillId="0" borderId="0" xfId="99" applyNumberFormat="1" applyFont="1" applyBorder="1" applyAlignment="1">
      <alignment horizontal="center"/>
      <protection/>
    </xf>
    <xf numFmtId="0" fontId="56" fillId="0" borderId="0" xfId="99" applyFont="1" applyBorder="1" applyAlignment="1">
      <alignment horizontal="center"/>
      <protection/>
    </xf>
    <xf numFmtId="4" fontId="2" fillId="0" borderId="22" xfId="99" applyNumberFormat="1" applyFont="1" applyFill="1" applyBorder="1" applyAlignment="1">
      <alignment wrapText="1"/>
      <protection/>
    </xf>
    <xf numFmtId="0" fontId="49" fillId="0" borderId="0" xfId="128" applyFont="1" applyFill="1" applyBorder="1" applyAlignment="1">
      <alignment horizontal="center"/>
      <protection/>
    </xf>
    <xf numFmtId="0" fontId="49" fillId="0" borderId="0" xfId="135" applyFont="1" applyFill="1" applyBorder="1" applyAlignment="1">
      <alignment horizontal="center"/>
      <protection/>
    </xf>
    <xf numFmtId="0" fontId="5" fillId="0" borderId="0" xfId="128" applyFont="1" applyFill="1" applyAlignment="1">
      <alignment wrapText="1"/>
      <protection/>
    </xf>
    <xf numFmtId="0" fontId="5" fillId="0" borderId="0" xfId="135" applyFont="1" applyFill="1" applyAlignment="1">
      <alignment wrapText="1"/>
      <protection/>
    </xf>
    <xf numFmtId="0" fontId="2" fillId="0" borderId="22" xfId="99" applyFont="1" applyBorder="1" applyAlignment="1">
      <alignment horizontal="center"/>
      <protection/>
    </xf>
    <xf numFmtId="0" fontId="49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wrapText="1"/>
    </xf>
    <xf numFmtId="0" fontId="30" fillId="56" borderId="0" xfId="99" applyFont="1" applyFill="1" applyBorder="1" applyAlignment="1">
      <alignment horizontal="left" vertical="top" wrapText="1"/>
      <protection/>
    </xf>
    <xf numFmtId="0" fontId="2" fillId="0" borderId="0" xfId="99" applyFont="1" applyFill="1" applyBorder="1" applyAlignment="1">
      <alignment horizontal="center" vertical="center"/>
      <protection/>
    </xf>
    <xf numFmtId="0" fontId="2" fillId="0" borderId="0" xfId="99" applyFont="1" applyBorder="1" applyAlignment="1">
      <alignment horizontal="center" vertical="center"/>
      <protection/>
    </xf>
    <xf numFmtId="0" fontId="30" fillId="56" borderId="0" xfId="99" applyFont="1" applyFill="1" applyBorder="1" applyAlignment="1">
      <alignment vertical="top" wrapText="1"/>
      <protection/>
    </xf>
    <xf numFmtId="0" fontId="5" fillId="0" borderId="80" xfId="99" applyFont="1" applyFill="1" applyBorder="1" applyAlignment="1">
      <alignment horizontal="center" vertical="center"/>
      <protection/>
    </xf>
    <xf numFmtId="0" fontId="49" fillId="0" borderId="20" xfId="99" applyFont="1" applyFill="1" applyBorder="1" applyAlignment="1">
      <alignment horizontal="center" vertical="center"/>
      <protection/>
    </xf>
    <xf numFmtId="0" fontId="49" fillId="0" borderId="25" xfId="99" applyFont="1" applyFill="1" applyBorder="1" applyAlignment="1">
      <alignment horizontal="center" vertical="center"/>
      <protection/>
    </xf>
    <xf numFmtId="0" fontId="49" fillId="0" borderId="20" xfId="99" applyFont="1" applyFill="1" applyBorder="1" applyAlignment="1">
      <alignment horizontal="center" vertical="center" wrapText="1"/>
      <protection/>
    </xf>
    <xf numFmtId="0" fontId="49" fillId="0" borderId="25" xfId="99" applyFont="1" applyFill="1" applyBorder="1" applyAlignment="1">
      <alignment horizontal="center" vertical="center" wrapText="1"/>
      <protection/>
    </xf>
    <xf numFmtId="4" fontId="49" fillId="0" borderId="20" xfId="0" applyNumberFormat="1" applyFont="1" applyFill="1" applyBorder="1" applyAlignment="1">
      <alignment horizontal="center" vertical="center" wrapText="1"/>
    </xf>
    <xf numFmtId="4" fontId="49" fillId="0" borderId="25" xfId="0" applyNumberFormat="1" applyFont="1" applyFill="1" applyBorder="1" applyAlignment="1">
      <alignment horizontal="center" vertical="center" wrapText="1"/>
    </xf>
    <xf numFmtId="4" fontId="49" fillId="0" borderId="20" xfId="99" applyNumberFormat="1" applyFont="1" applyFill="1" applyBorder="1" applyAlignment="1">
      <alignment horizontal="center" vertical="center" wrapText="1"/>
      <protection/>
    </xf>
    <xf numFmtId="4" fontId="49" fillId="0" borderId="25" xfId="99" applyNumberFormat="1" applyFont="1" applyFill="1" applyBorder="1" applyAlignment="1">
      <alignment horizontal="center" vertical="center" wrapText="1"/>
      <protection/>
    </xf>
    <xf numFmtId="0" fontId="49" fillId="0" borderId="73" xfId="99" applyFont="1" applyFill="1" applyBorder="1" applyAlignment="1">
      <alignment horizontal="center"/>
      <protection/>
    </xf>
    <xf numFmtId="0" fontId="49" fillId="0" borderId="46" xfId="99" applyFont="1" applyFill="1" applyBorder="1" applyAlignment="1">
      <alignment horizontal="center"/>
      <protection/>
    </xf>
    <xf numFmtId="0" fontId="49" fillId="0" borderId="79" xfId="99" applyFont="1" applyFill="1" applyBorder="1" applyAlignment="1">
      <alignment horizontal="center"/>
      <protection/>
    </xf>
  </cellXfs>
  <cellStyles count="167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Akcia" xfId="51"/>
    <cellStyle name="Cena_Sk" xfId="52"/>
    <cellStyle name="Comma [0]" xfId="53"/>
    <cellStyle name="Currency [0]" xfId="54"/>
    <cellStyle name="Comma" xfId="55"/>
    <cellStyle name="Comma [0]" xfId="56"/>
    <cellStyle name="Čiarka 2" xfId="57"/>
    <cellStyle name="Čiarka 3" xfId="58"/>
    <cellStyle name="Čiarka 4" xfId="59"/>
    <cellStyle name="Čiarka 5" xfId="60"/>
    <cellStyle name="Čiarka 6" xfId="61"/>
    <cellStyle name="Čiarka 7" xfId="62"/>
    <cellStyle name="Čiarka 7 2" xfId="63"/>
    <cellStyle name="Date" xfId="64"/>
    <cellStyle name="Dobrá" xfId="65"/>
    <cellStyle name="Dobrá 2" xfId="66"/>
    <cellStyle name="Euro" xfId="67"/>
    <cellStyle name="Fixed" xfId="68"/>
    <cellStyle name="Heading1" xfId="69"/>
    <cellStyle name="Heading2" xfId="70"/>
    <cellStyle name="Kontrolná bunka" xfId="71"/>
    <cellStyle name="Kontrolná bunka 2" xfId="72"/>
    <cellStyle name="Currency" xfId="73"/>
    <cellStyle name="Currency [0]" xfId="74"/>
    <cellStyle name="Nadpis 1" xfId="75"/>
    <cellStyle name="Nadpis 1 2" xfId="76"/>
    <cellStyle name="Nadpis 2" xfId="77"/>
    <cellStyle name="Nadpis 2 2" xfId="78"/>
    <cellStyle name="Nadpis 3" xfId="79"/>
    <cellStyle name="Nadpis 3 2" xfId="80"/>
    <cellStyle name="Nadpis 4" xfId="81"/>
    <cellStyle name="Nadpis 4 2" xfId="82"/>
    <cellStyle name="Nazov" xfId="83"/>
    <cellStyle name="Neutrálna" xfId="84"/>
    <cellStyle name="Neutrálna 2" xfId="85"/>
    <cellStyle name="Normal_Book1" xfId="86"/>
    <cellStyle name="Normálna 10" xfId="87"/>
    <cellStyle name="Normálna 11" xfId="88"/>
    <cellStyle name="Normálna 12" xfId="89"/>
    <cellStyle name="Normálna 13" xfId="90"/>
    <cellStyle name="Normálna 14" xfId="91"/>
    <cellStyle name="Normálna 15" xfId="92"/>
    <cellStyle name="Normálna 16" xfId="93"/>
    <cellStyle name="Normálna 17" xfId="94"/>
    <cellStyle name="Normálna 18" xfId="95"/>
    <cellStyle name="Normálna 19" xfId="96"/>
    <cellStyle name="Normálna 19 2" xfId="97"/>
    <cellStyle name="Normálna 2" xfId="98"/>
    <cellStyle name="Normálna 2 2" xfId="99"/>
    <cellStyle name="Normálna 2 2 2" xfId="100"/>
    <cellStyle name="Normálna 2 3" xfId="101"/>
    <cellStyle name="Normálna 3" xfId="102"/>
    <cellStyle name="Normálna 3 2" xfId="103"/>
    <cellStyle name="Normálna 3 2 2" xfId="104"/>
    <cellStyle name="Normálna 3 3" xfId="105"/>
    <cellStyle name="Normálna 3 4" xfId="106"/>
    <cellStyle name="Normálna 3 5" xfId="107"/>
    <cellStyle name="Normálna 3 6" xfId="108"/>
    <cellStyle name="Normálna 3 7" xfId="109"/>
    <cellStyle name="Normálna 4" xfId="110"/>
    <cellStyle name="Normálna 4 2" xfId="111"/>
    <cellStyle name="Normálna 5" xfId="112"/>
    <cellStyle name="Normálna 5 2" xfId="113"/>
    <cellStyle name="Normálna 6" xfId="114"/>
    <cellStyle name="Normálna 7" xfId="115"/>
    <cellStyle name="Normálna 8" xfId="116"/>
    <cellStyle name="Normálna 9" xfId="117"/>
    <cellStyle name="normálne_06 SF Spolu PLNENIE 1-6 2012    11 07 2012" xfId="118"/>
    <cellStyle name="normálne_AA1_spôsoby vymáhania_12_10 " xfId="119"/>
    <cellStyle name="normálne_Časový vývoj SP od roku 95 - 2001" xfId="120"/>
    <cellStyle name="normálne_Hárok1" xfId="121"/>
    <cellStyle name="normálne_Hárok1 2" xfId="122"/>
    <cellStyle name="normálne_Mesač.prehľad P aV apríl 2006" xfId="123"/>
    <cellStyle name="normálne_nový výkaz upravený " xfId="124"/>
    <cellStyle name="normálne_plnenie investície 2006" xfId="125"/>
    <cellStyle name="normálne_Prílohy č. 1a ... (tvorba fondov 2007)" xfId="126"/>
    <cellStyle name="normálne_Prílohy k správe k 30.11.2010 - ústredie" xfId="127"/>
    <cellStyle name="normálne_Prílohy.správa o hosp.k 31.12.2006" xfId="128"/>
    <cellStyle name="normálne_RO august 2013" xfId="129"/>
    <cellStyle name="normálne_RO máj 2013" xfId="130"/>
    <cellStyle name="normálne_RO október 2013" xfId="131"/>
    <cellStyle name="normálne_RO september 2013" xfId="132"/>
    <cellStyle name="normálne_Skutočnosť k 31.8.2010 - vzorce" xfId="133"/>
    <cellStyle name="normálne_Skutočnosť k 31.8.2010 - vzorce 2" xfId="134"/>
    <cellStyle name="normálne_VS. 2011.Prílohy_pohľadávky" xfId="135"/>
    <cellStyle name="normálne_Výdavky ZFNP 2007 - do správy" xfId="136"/>
    <cellStyle name="normálne_Zdravotnícke zariadenia ku dňu 31.12.2005" xfId="137"/>
    <cellStyle name="normálne_Zošit2" xfId="138"/>
    <cellStyle name="normální 2" xfId="139"/>
    <cellStyle name="normální_15.6.07 východ.+rozpočet 08-10" xfId="140"/>
    <cellStyle name="Percent" xfId="141"/>
    <cellStyle name="Percentá 2" xfId="142"/>
    <cellStyle name="Percentá 3" xfId="143"/>
    <cellStyle name="Percentá 4" xfId="144"/>
    <cellStyle name="Percentá 5" xfId="145"/>
    <cellStyle name="Popis" xfId="146"/>
    <cellStyle name="Poznámka" xfId="147"/>
    <cellStyle name="Poznámka 2" xfId="148"/>
    <cellStyle name="Prepojená bunka" xfId="149"/>
    <cellStyle name="Prepojená bunka 2" xfId="150"/>
    <cellStyle name="ProductNo." xfId="151"/>
    <cellStyle name="Spolu" xfId="152"/>
    <cellStyle name="Spolu 2" xfId="153"/>
    <cellStyle name="Text upozornenia" xfId="154"/>
    <cellStyle name="Text upozornenia 2" xfId="155"/>
    <cellStyle name="Titul" xfId="156"/>
    <cellStyle name="Total" xfId="157"/>
    <cellStyle name="Upozornenie" xfId="158"/>
    <cellStyle name="Vstup" xfId="159"/>
    <cellStyle name="Vstup 2" xfId="160"/>
    <cellStyle name="Výpočet" xfId="161"/>
    <cellStyle name="Výpočet 2" xfId="162"/>
    <cellStyle name="Výstup" xfId="163"/>
    <cellStyle name="Výstup 2" xfId="164"/>
    <cellStyle name="Vysvetľujúci text" xfId="165"/>
    <cellStyle name="Vysvetľujúci text 2" xfId="166"/>
    <cellStyle name="Zlá" xfId="167"/>
    <cellStyle name="Zlá 2" xfId="168"/>
    <cellStyle name="Zvýraznenie1" xfId="169"/>
    <cellStyle name="Zvýraznenie1 2" xfId="170"/>
    <cellStyle name="Zvýraznenie2" xfId="171"/>
    <cellStyle name="Zvýraznenie2 2" xfId="172"/>
    <cellStyle name="Zvýraznenie3" xfId="173"/>
    <cellStyle name="Zvýraznenie3 2" xfId="174"/>
    <cellStyle name="Zvýraznenie4" xfId="175"/>
    <cellStyle name="Zvýraznenie4 2" xfId="176"/>
    <cellStyle name="Zvýraznenie5" xfId="177"/>
    <cellStyle name="Zvýraznenie5 2" xfId="178"/>
    <cellStyle name="Zvýraznenie6" xfId="179"/>
    <cellStyle name="Zvýraznenie6 2" xfId="180"/>
  </cellStyles>
  <dxfs count="6">
    <dxf>
      <font>
        <color indexed="50"/>
      </font>
    </dxf>
    <dxf>
      <font>
        <color indexed="50"/>
      </font>
    </dxf>
    <dxf>
      <font>
        <color indexed="50"/>
      </font>
    </dxf>
    <dxf>
      <font>
        <color indexed="17"/>
      </font>
    </dxf>
    <dxf>
      <font>
        <color indexed="17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chartsheet" Target="chartsheets/sheet1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855"/>
          <c:w val="0.943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'[7]graf'!$B$8</c:f>
              <c:strCache>
                <c:ptCount val="1"/>
                <c:pt idx="0">
                  <c:v>rozpis rozpočtu príjmov na rok 2013</c:v>
                </c:pt>
              </c:strCache>
            </c:strRef>
          </c:tx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dPt>
            <c:idx val="1"/>
            <c:spPr>
              <a:solidFill>
                <a:srgbClr val="558ED5"/>
              </a:solidFill>
              <a:ln w="25400">
                <a:solidFill>
                  <a:srgbClr val="3366FF"/>
                </a:solidFill>
                <a:prstDash val="dash"/>
              </a:ln>
            </c:spPr>
            <c:marker>
              <c:size val="7"/>
              <c:spPr>
                <a:solidFill>
                  <a:srgbClr val="33CCCC"/>
                </a:solidFill>
                <a:ln>
                  <a:solidFill>
                    <a:srgbClr val="8080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'[7]graf'!$C$8:$N$8</c:f>
              <c:numCache>
                <c:ptCount val="12"/>
                <c:pt idx="0">
                  <c:v>462908.250808396</c:v>
                </c:pt>
                <c:pt idx="1">
                  <c:v>471129.6215413961</c:v>
                </c:pt>
                <c:pt idx="2">
                  <c:v>463984.66102909495</c:v>
                </c:pt>
                <c:pt idx="3">
                  <c:v>474622.78058873944</c:v>
                </c:pt>
                <c:pt idx="4">
                  <c:v>488371.38375856745</c:v>
                </c:pt>
                <c:pt idx="5">
                  <c:v>490410.09239875333</c:v>
                </c:pt>
                <c:pt idx="6">
                  <c:v>503527.6657060095</c:v>
                </c:pt>
                <c:pt idx="7">
                  <c:v>497690.41994693194</c:v>
                </c:pt>
                <c:pt idx="8">
                  <c:v>481940.7004325892</c:v>
                </c:pt>
                <c:pt idx="9">
                  <c:v>498911.67833654693</c:v>
                </c:pt>
                <c:pt idx="10">
                  <c:v>492900.67282766104</c:v>
                </c:pt>
                <c:pt idx="11">
                  <c:v>590502.707625313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'[7]graf'!$B$9</c:f>
              <c:strCache>
                <c:ptCount val="1"/>
                <c:pt idx="0">
                  <c:v>príjmy od EAO spolu rok 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'[7]graf'!$C$9:$N$9</c:f>
              <c:numCache>
                <c:ptCount val="12"/>
                <c:pt idx="0">
                  <c:v>451707</c:v>
                </c:pt>
                <c:pt idx="1">
                  <c:v>453534</c:v>
                </c:pt>
                <c:pt idx="2">
                  <c:v>443416</c:v>
                </c:pt>
                <c:pt idx="3">
                  <c:v>477329</c:v>
                </c:pt>
                <c:pt idx="4">
                  <c:v>480751</c:v>
                </c:pt>
                <c:pt idx="5">
                  <c:v>482171</c:v>
                </c:pt>
                <c:pt idx="6">
                  <c:v>509858</c:v>
                </c:pt>
                <c:pt idx="7">
                  <c:v>489040</c:v>
                </c:pt>
                <c:pt idx="8">
                  <c:v>481644</c:v>
                </c:pt>
                <c:pt idx="9">
                  <c:v>497426</c:v>
                </c:pt>
                <c:pt idx="10">
                  <c:v>486306</c:v>
                </c:pt>
                <c:pt idx="11">
                  <c:v>599870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'[7]graf'!$B$11</c:f>
              <c:strCache>
                <c:ptCount val="1"/>
                <c:pt idx="0">
                  <c:v>príjmy od EAO spolu rok 2011 bez oddlženia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'[7]graf'!$C$11:$N$11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449599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'[7]graf'!$B$12</c:f>
              <c:strCache>
                <c:ptCount val="1"/>
                <c:pt idx="0">
                  <c:v>príjmy od EAO spolu rok 2011 vrátane oddlženia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'[7]graf'!$C$12:$N$12</c:f>
              <c:numCache>
                <c:ptCount val="12"/>
                <c:pt idx="0">
                  <c:v>413261</c:v>
                </c:pt>
                <c:pt idx="1">
                  <c:v>405617</c:v>
                </c:pt>
                <c:pt idx="2">
                  <c:v>430883</c:v>
                </c:pt>
                <c:pt idx="3">
                  <c:v>421427</c:v>
                </c:pt>
                <c:pt idx="4">
                  <c:v>437860</c:v>
                </c:pt>
                <c:pt idx="5">
                  <c:v>439195</c:v>
                </c:pt>
                <c:pt idx="6">
                  <c:v>447037</c:v>
                </c:pt>
                <c:pt idx="7">
                  <c:v>446355</c:v>
                </c:pt>
                <c:pt idx="8">
                  <c:v>431593</c:v>
                </c:pt>
                <c:pt idx="9">
                  <c:v>508667</c:v>
                </c:pt>
                <c:pt idx="10">
                  <c:v>442321</c:v>
                </c:pt>
                <c:pt idx="11">
                  <c:v>538382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'[7]graf'!$B$13</c:f>
              <c:strCache>
                <c:ptCount val="1"/>
                <c:pt idx="0">
                  <c:v>príjmy od EAO spolu rok 2012 vrátane oddĺženia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808000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'[7]graf'!$C$13:$N$13</c:f>
              <c:numCach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551704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'[7]graf'!$B$14</c:f>
              <c:strCache>
                <c:ptCount val="1"/>
                <c:pt idx="0">
                  <c:v>príjmy od EAO spolu rok 2012 bez  oddĺženia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8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'[7]graf'!$C$4:$N$4</c:f>
              <c:strCache>
                <c:ptCount val="12"/>
                <c:pt idx="0">
                  <c:v>január 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'[7]graf'!$C$14:$N$14</c:f>
              <c:numCache>
                <c:ptCount val="12"/>
                <c:pt idx="0">
                  <c:v>445863</c:v>
                </c:pt>
                <c:pt idx="1">
                  <c:v>436816</c:v>
                </c:pt>
                <c:pt idx="2">
                  <c:v>427059.55717000004</c:v>
                </c:pt>
                <c:pt idx="3">
                  <c:v>438139.44282999996</c:v>
                </c:pt>
                <c:pt idx="4">
                  <c:v>448976</c:v>
                </c:pt>
                <c:pt idx="5">
                  <c:v>451458</c:v>
                </c:pt>
                <c:pt idx="6">
                  <c:v>467118.80834000005</c:v>
                </c:pt>
                <c:pt idx="7">
                  <c:v>459276</c:v>
                </c:pt>
                <c:pt idx="8">
                  <c:v>443517</c:v>
                </c:pt>
                <c:pt idx="9">
                  <c:v>457603</c:v>
                </c:pt>
                <c:pt idx="10">
                  <c:v>453280</c:v>
                </c:pt>
                <c:pt idx="11">
                  <c:v>541304</c:v>
                </c:pt>
              </c:numCache>
            </c:numRef>
          </c:val>
          <c:smooth val="0"/>
        </c:ser>
        <c:marker val="1"/>
        <c:axId val="64585047"/>
        <c:axId val="44394512"/>
      </c:lineChart>
      <c:catAx>
        <c:axId val="64585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mesiace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4512"/>
        <c:crossesAt val="0"/>
        <c:auto val="1"/>
        <c:lblOffset val="100"/>
        <c:tickLblSkip val="1"/>
        <c:noMultiLvlLbl val="0"/>
      </c:catAx>
      <c:valAx>
        <c:axId val="44394512"/>
        <c:scaling>
          <c:orientation val="minMax"/>
          <c:max val="605000"/>
          <c:min val="38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príjmy od EAO spolu v tis. Eur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85047"/>
        <c:crossesAt val="1"/>
        <c:crossBetween val="between"/>
        <c:dispUnits/>
        <c:majorUnit val="20000"/>
        <c:minorUnit val="2000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25"/>
          <c:y val="0.89975"/>
          <c:w val="0.9475"/>
          <c:h val="0.10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Pohľadávky na poistnom a príspevkoch na SDS celkom (účet 316) v tis. Eur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39"/>
          <c:w val="0.901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'[8]Vývoj pohľadávok'!$B$37:$B$51</c:f>
              <c:strCache>
                <c:ptCount val="15"/>
                <c:pt idx="0">
                  <c:v>k 31.12.2010</c:v>
                </c:pt>
                <c:pt idx="1">
                  <c:v> k 31.12.2011</c:v>
                </c:pt>
                <c:pt idx="2">
                  <c:v>k 31.12.2012</c:v>
                </c:pt>
                <c:pt idx="3">
                  <c:v>k 31.1.2013</c:v>
                </c:pt>
                <c:pt idx="4">
                  <c:v>k 28.2.2013</c:v>
                </c:pt>
                <c:pt idx="5">
                  <c:v>k 31.3.2013</c:v>
                </c:pt>
                <c:pt idx="6">
                  <c:v>k 30.4.2013</c:v>
                </c:pt>
                <c:pt idx="7">
                  <c:v>k 31.5.2013</c:v>
                </c:pt>
                <c:pt idx="8">
                  <c:v>k 30.6.2013</c:v>
                </c:pt>
                <c:pt idx="9">
                  <c:v>k 31.7.2013</c:v>
                </c:pt>
                <c:pt idx="10">
                  <c:v>k 31.8.2013</c:v>
                </c:pt>
                <c:pt idx="11">
                  <c:v>k 30.9.2013</c:v>
                </c:pt>
                <c:pt idx="12">
                  <c:v>k 31.10.2013</c:v>
                </c:pt>
                <c:pt idx="13">
                  <c:v>k 30.11.2013</c:v>
                </c:pt>
                <c:pt idx="14">
                  <c:v>k 31.12.2013</c:v>
                </c:pt>
              </c:strCache>
            </c:strRef>
          </c:cat>
          <c:val>
            <c:numRef>
              <c:f>'[8]Vývoj pohľadávok'!$C$37:$C$51</c:f>
              <c:numCache>
                <c:ptCount val="15"/>
                <c:pt idx="0">
                  <c:v>823205</c:v>
                </c:pt>
                <c:pt idx="1">
                  <c:v>563760.21517</c:v>
                </c:pt>
                <c:pt idx="2">
                  <c:v>595319.5196600001</c:v>
                </c:pt>
                <c:pt idx="3">
                  <c:v>647672.49306</c:v>
                </c:pt>
                <c:pt idx="4">
                  <c:v>595223.2899799999</c:v>
                </c:pt>
                <c:pt idx="5">
                  <c:v>621116.0278699996</c:v>
                </c:pt>
                <c:pt idx="6">
                  <c:v>645002.68108</c:v>
                </c:pt>
                <c:pt idx="7">
                  <c:v>657829.44439</c:v>
                </c:pt>
                <c:pt idx="8">
                  <c:v>664077.94733</c:v>
                </c:pt>
                <c:pt idx="9">
                  <c:v>683016.2353800001</c:v>
                </c:pt>
                <c:pt idx="10">
                  <c:v>685952.28498</c:v>
                </c:pt>
                <c:pt idx="11">
                  <c:v>683982.5296499999</c:v>
                </c:pt>
                <c:pt idx="12">
                  <c:v>653528.3236799999</c:v>
                </c:pt>
                <c:pt idx="13">
                  <c:v>661730.7083399999</c:v>
                </c:pt>
                <c:pt idx="14">
                  <c:v>667147.8540899998</c:v>
                </c:pt>
              </c:numCache>
            </c:numRef>
          </c:val>
        </c:ser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6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Časový vývoj použitia správneho fondu v jednotlivých mesiacoch v roku 2012 a 2013</a:t>
            </a:r>
          </a:p>
        </c:rich>
      </c:tx>
      <c:layout>
        <c:manualLayout>
          <c:xMode val="factor"/>
          <c:yMode val="factor"/>
          <c:x val="0.0017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10475"/>
          <c:w val="0.94725"/>
          <c:h val="0.7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'[9]zdroj'!$A$13</c:f>
              <c:strCache>
                <c:ptCount val="1"/>
                <c:pt idx="0">
                  <c:v>Správny fond v roku 2012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'[9]zdroj'!$B$12:$M$12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'[9]zdroj'!$B$13:$M$13</c:f>
              <c:numCache>
                <c:ptCount val="12"/>
                <c:pt idx="0">
                  <c:v>8606667</c:v>
                </c:pt>
                <c:pt idx="1">
                  <c:v>8662871</c:v>
                </c:pt>
                <c:pt idx="2">
                  <c:v>8342284</c:v>
                </c:pt>
                <c:pt idx="3">
                  <c:v>9988998</c:v>
                </c:pt>
                <c:pt idx="4">
                  <c:v>8359113</c:v>
                </c:pt>
                <c:pt idx="5">
                  <c:v>8434884</c:v>
                </c:pt>
                <c:pt idx="6">
                  <c:v>9373749</c:v>
                </c:pt>
                <c:pt idx="7">
                  <c:v>8421462</c:v>
                </c:pt>
                <c:pt idx="8">
                  <c:v>8500459</c:v>
                </c:pt>
                <c:pt idx="9">
                  <c:v>8702050</c:v>
                </c:pt>
                <c:pt idx="10">
                  <c:v>8335463</c:v>
                </c:pt>
                <c:pt idx="11">
                  <c:v>16908446</c:v>
                </c:pt>
              </c:numCache>
            </c:numRef>
          </c:val>
        </c:ser>
        <c:ser>
          <c:idx val="2"/>
          <c:order val="1"/>
          <c:tx>
            <c:strRef>
              <c:f>'[9]zdroj'!$A$14</c:f>
              <c:strCache>
                <c:ptCount val="1"/>
                <c:pt idx="0">
                  <c:v>Správny fond v roku 2013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'[9]zdroj'!$B$12:$M$12</c:f>
              <c:strCache>
                <c:ptCount val="12"/>
                <c:pt idx="0">
                  <c:v> Január </c:v>
                </c:pt>
                <c:pt idx="1">
                  <c:v> Február 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'[9]zdroj'!$B$14:$M$14</c:f>
              <c:numCache>
                <c:ptCount val="12"/>
                <c:pt idx="0">
                  <c:v>11572878</c:v>
                </c:pt>
                <c:pt idx="1">
                  <c:v>5229443</c:v>
                </c:pt>
                <c:pt idx="2">
                  <c:v>7700431</c:v>
                </c:pt>
                <c:pt idx="3">
                  <c:v>8639271</c:v>
                </c:pt>
                <c:pt idx="4">
                  <c:v>8655832</c:v>
                </c:pt>
                <c:pt idx="5">
                  <c:v>7927273</c:v>
                </c:pt>
                <c:pt idx="6">
                  <c:v>12487771</c:v>
                </c:pt>
                <c:pt idx="7">
                  <c:v>8706648</c:v>
                </c:pt>
                <c:pt idx="8">
                  <c:v>8383059</c:v>
                </c:pt>
                <c:pt idx="9">
                  <c:v>9140804</c:v>
                </c:pt>
                <c:pt idx="10">
                  <c:v>12852995</c:v>
                </c:pt>
                <c:pt idx="11">
                  <c:v>23455878</c:v>
                </c:pt>
              </c:numCache>
            </c:numRef>
          </c:val>
        </c:ser>
        <c:axId val="17126891"/>
        <c:axId val="19924292"/>
      </c:barChart>
      <c:catAx>
        <c:axId val="17126891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16"/>
              <c:y val="-0.1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24292"/>
        <c:crosses val="autoZero"/>
        <c:auto val="1"/>
        <c:lblOffset val="100"/>
        <c:tickLblSkip val="1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"/>
          <c:y val="0.85875"/>
          <c:w val="0.4292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fitToHeight="0" fitToWidth="0"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0.285</cdr:x>
      <cdr:y>0.02775</cdr:y>
    </cdr:from>
    <cdr:to>
      <cdr:x>0.8235</cdr:x>
      <cdr:y>0.0975</cdr:y>
    </cdr:to>
    <cdr:sp>
      <cdr:nvSpPr>
        <cdr:cNvPr id="1" name="BlokTextu 1"/>
        <cdr:cNvSpPr txBox="1">
          <a:spLocks noChangeArrowheads="1"/>
        </cdr:cNvSpPr>
      </cdr:nvSpPr>
      <cdr:spPr>
        <a:xfrm>
          <a:off x="4105275" y="266700"/>
          <a:ext cx="77724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Výber poistného a  príspevkov na SDS od EAO v tis. Eur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24</xdr:col>
      <xdr:colOff>409575</xdr:colOff>
      <xdr:row>62</xdr:row>
      <xdr:rowOff>9525</xdr:rowOff>
    </xdr:to>
    <xdr:graphicFrame>
      <xdr:nvGraphicFramePr>
        <xdr:cNvPr id="1" name="Graf 3"/>
        <xdr:cNvGraphicFramePr/>
      </xdr:nvGraphicFramePr>
      <xdr:xfrm>
        <a:off x="609600" y="323850"/>
        <a:ext cx="14430375" cy="972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876300</xdr:rowOff>
    </xdr:from>
    <xdr:to>
      <xdr:col>14</xdr:col>
      <xdr:colOff>495300</xdr:colOff>
      <xdr:row>28</xdr:row>
      <xdr:rowOff>95250</xdr:rowOff>
    </xdr:to>
    <xdr:graphicFrame>
      <xdr:nvGraphicFramePr>
        <xdr:cNvPr id="1" name="Graf 6"/>
        <xdr:cNvGraphicFramePr/>
      </xdr:nvGraphicFramePr>
      <xdr:xfrm>
        <a:off x="590550" y="876300"/>
        <a:ext cx="84963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pas\priklady%20-%20Excel%20II\cvicne%20soubory\citlivostni%20analy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bert%20Pecha&#269;\Dokumenty\Excel%20III\moje\pokro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-dejczoova_e\AppData\Local\Microsoft\Windows\Temporary%20Internet%20Files\Content.Outlook\PUCJRSDW\rozdelenie%20zam.%20pobo&#269;iek\Gopas\priklady%20-%20Excel%20II\cvicne%20soubory\citlivostni%20analyz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ahaservice\materialy\Dokumenty\excel\cvic\TE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excel\cvic\TE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kumenty\excel\cvic\TE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martina%20excel\skuto&#269;nos&#357;%202013\graf%202013\Janu&#225;r%20a&#382;%20november%202013%20a%20december%202013-kredit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rkasova_k\Local%20Settings\Temporary%20Internet%20Files\Content.Outlook\JV7XLEKH\Preh&#318;ady%20k%20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A-BRUCKNEROVA_J\My%20Documents\Jarmila_pracovn&#233;%20s&#250;bory\Rozbory\rok%202013\plneni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snova"/>
      <sheetName val="Konting"/>
      <sheetName val="chyby"/>
      <sheetName val="Pole"/>
      <sheetName val="PodVS"/>
      <sheetName val="PodV1"/>
      <sheetName val="D-Funkce"/>
      <sheetName val="PodV2"/>
      <sheetName val="Hledání"/>
      <sheetName val="Zákl.Stat"/>
      <sheetName val="Hypotézy"/>
      <sheetName val="anova"/>
      <sheetName val="Regr. přímka"/>
      <sheetName val="Vícen. regrese"/>
      <sheetName val="Regr. parabola"/>
      <sheetName val="Scénář"/>
      <sheetName val="Pekař"/>
      <sheetName val="Doprava"/>
      <sheetName val="Hledání řešení"/>
      <sheetName val="Tabulka"/>
      <sheetName val="Kursy"/>
      <sheetName val="Novinky"/>
    </sheetNames>
    <sheetDataSet>
      <sheetData sheetId="15">
        <row r="15">
          <cell r="E15">
            <v>3199930.7308359966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abilita - zadání"/>
      <sheetName val="Rentabilita - řešení"/>
      <sheetName val="Budoucí hodnota - zadání"/>
      <sheetName val="Budoucí hodnota - řešení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Modul1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est1"/>
      <sheetName val="Test2"/>
      <sheetName val="Funkce listu"/>
      <sheetName val="List2"/>
      <sheetName val="List3"/>
      <sheetName val="Souhrn"/>
      <sheetName val="chyby"/>
      <sheetName val="List6"/>
      <sheetName val="List7"/>
      <sheetName val="List8"/>
      <sheetName val="List9"/>
      <sheetName val="List10"/>
      <sheetName val="List11"/>
      <sheetName val="List12"/>
      <sheetName val="List13"/>
      <sheetName val="List14"/>
    </sheetNames>
    <sheetDataSet>
      <sheetData sheetId="0">
        <row r="89">
          <cell r="B89" t="str">
            <v>Zboží</v>
          </cell>
          <cell r="C89" t="str">
            <v>Množství</v>
          </cell>
          <cell r="D89" t="str">
            <v>Cena</v>
          </cell>
        </row>
        <row r="90">
          <cell r="B90" t="str">
            <v>Mléko</v>
          </cell>
          <cell r="C90">
            <v>125</v>
          </cell>
          <cell r="D90">
            <v>9.2</v>
          </cell>
        </row>
        <row r="91">
          <cell r="B91" t="str">
            <v>Máslo</v>
          </cell>
          <cell r="C91">
            <v>16</v>
          </cell>
          <cell r="D91">
            <v>22.5</v>
          </cell>
        </row>
        <row r="92">
          <cell r="B92" t="str">
            <v>Sýr Eidam</v>
          </cell>
          <cell r="C92">
            <v>19</v>
          </cell>
          <cell r="D92">
            <v>10.2</v>
          </cell>
        </row>
        <row r="93">
          <cell r="B93" t="str">
            <v>Sýr Ementál</v>
          </cell>
          <cell r="C93">
            <v>21</v>
          </cell>
          <cell r="D93">
            <v>15.3</v>
          </cell>
        </row>
        <row r="94">
          <cell r="B94" t="str">
            <v>Vejce</v>
          </cell>
          <cell r="C94">
            <v>852</v>
          </cell>
          <cell r="D94">
            <v>2.2</v>
          </cell>
        </row>
        <row r="95">
          <cell r="B95" t="str">
            <v>Jemný sýr kapiový</v>
          </cell>
          <cell r="C95">
            <v>58</v>
          </cell>
          <cell r="D95">
            <v>9.8</v>
          </cell>
        </row>
        <row r="96">
          <cell r="B96" t="str">
            <v>Tavený sýr</v>
          </cell>
          <cell r="C96">
            <v>45</v>
          </cell>
          <cell r="D96">
            <v>2.2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Hárok1"/>
    </sheetNames>
    <sheetDataSet>
      <sheetData sheetId="0">
        <row r="4">
          <cell r="C4" t="str">
            <v>január </v>
          </cell>
          <cell r="D4" t="str">
            <v>február</v>
          </cell>
          <cell r="E4" t="str">
            <v>marec</v>
          </cell>
          <cell r="F4" t="str">
            <v>apríl</v>
          </cell>
          <cell r="G4" t="str">
            <v>máj</v>
          </cell>
          <cell r="H4" t="str">
            <v>jún</v>
          </cell>
          <cell r="I4" t="str">
            <v>júl</v>
          </cell>
          <cell r="J4" t="str">
            <v>august</v>
          </cell>
          <cell r="K4" t="str">
            <v>september</v>
          </cell>
          <cell r="L4" t="str">
            <v>október</v>
          </cell>
          <cell r="M4" t="str">
            <v>november</v>
          </cell>
          <cell r="N4" t="str">
            <v>december</v>
          </cell>
        </row>
        <row r="8">
          <cell r="B8" t="str">
            <v>rozpis rozpočtu príjmov na rok 2013</v>
          </cell>
          <cell r="C8">
            <v>462908.250808396</v>
          </cell>
          <cell r="D8">
            <v>471129.6215413961</v>
          </cell>
          <cell r="E8">
            <v>463984.66102909495</v>
          </cell>
          <cell r="F8">
            <v>474622.78058873944</v>
          </cell>
          <cell r="G8">
            <v>488371.38375856745</v>
          </cell>
          <cell r="H8">
            <v>490410.09239875333</v>
          </cell>
          <cell r="I8">
            <v>503527.6657060095</v>
          </cell>
          <cell r="J8">
            <v>497690.41994693194</v>
          </cell>
          <cell r="K8">
            <v>481940.7004325892</v>
          </cell>
          <cell r="L8">
            <v>498911.67833654693</v>
          </cell>
          <cell r="M8">
            <v>492900.67282766104</v>
          </cell>
          <cell r="N8">
            <v>590502.707625313</v>
          </cell>
        </row>
        <row r="9">
          <cell r="B9" t="str">
            <v>príjmy od EAO spolu rok 2013</v>
          </cell>
          <cell r="C9">
            <v>451707</v>
          </cell>
          <cell r="D9">
            <v>453534</v>
          </cell>
          <cell r="E9">
            <v>443416</v>
          </cell>
          <cell r="F9">
            <v>477329</v>
          </cell>
          <cell r="G9">
            <v>480751</v>
          </cell>
          <cell r="H9">
            <v>482171</v>
          </cell>
          <cell r="I9">
            <v>509858</v>
          </cell>
          <cell r="J9">
            <v>489040</v>
          </cell>
          <cell r="K9">
            <v>481644</v>
          </cell>
          <cell r="L9">
            <v>497426</v>
          </cell>
          <cell r="M9">
            <v>486306</v>
          </cell>
          <cell r="N9">
            <v>599870</v>
          </cell>
        </row>
        <row r="11">
          <cell r="B11" t="str">
            <v>príjmy od EAO spolu rok 2011 bez oddlženia</v>
          </cell>
          <cell r="C11">
            <v>413261</v>
          </cell>
          <cell r="D11">
            <v>405617</v>
          </cell>
          <cell r="E11">
            <v>430883</v>
          </cell>
          <cell r="F11">
            <v>421427</v>
          </cell>
          <cell r="G11">
            <v>437860</v>
          </cell>
          <cell r="H11">
            <v>439195</v>
          </cell>
          <cell r="I11">
            <v>447037</v>
          </cell>
          <cell r="J11">
            <v>446355</v>
          </cell>
          <cell r="K11">
            <v>431593</v>
          </cell>
          <cell r="L11">
            <v>449599</v>
          </cell>
          <cell r="M11">
            <v>442321</v>
          </cell>
          <cell r="N11">
            <v>538382</v>
          </cell>
        </row>
        <row r="12">
          <cell r="B12" t="str">
            <v>príjmy od EAO spolu rok 2011 vrátane oddlženia</v>
          </cell>
          <cell r="C12">
            <v>413261</v>
          </cell>
          <cell r="D12">
            <v>405617</v>
          </cell>
          <cell r="E12">
            <v>430883</v>
          </cell>
          <cell r="F12">
            <v>421427</v>
          </cell>
          <cell r="G12">
            <v>437860</v>
          </cell>
          <cell r="H12">
            <v>439195</v>
          </cell>
          <cell r="I12">
            <v>447037</v>
          </cell>
          <cell r="J12">
            <v>446355</v>
          </cell>
          <cell r="K12">
            <v>431593</v>
          </cell>
          <cell r="L12">
            <v>508667</v>
          </cell>
          <cell r="M12">
            <v>442321</v>
          </cell>
          <cell r="N12">
            <v>538382</v>
          </cell>
        </row>
        <row r="13">
          <cell r="B13" t="str">
            <v>príjmy od EAO spolu rok 2012 vrátane oddĺženia</v>
          </cell>
          <cell r="C13">
            <v>445863</v>
          </cell>
          <cell r="D13">
            <v>436816</v>
          </cell>
          <cell r="E13">
            <v>427059.55717000004</v>
          </cell>
          <cell r="F13">
            <v>438139.44282999996</v>
          </cell>
          <cell r="G13">
            <v>448976</v>
          </cell>
          <cell r="H13">
            <v>451458</v>
          </cell>
          <cell r="I13">
            <v>467118.80834000005</v>
          </cell>
          <cell r="J13">
            <v>459276</v>
          </cell>
          <cell r="K13">
            <v>443517</v>
          </cell>
          <cell r="L13">
            <v>457603</v>
          </cell>
          <cell r="M13">
            <v>453280</v>
          </cell>
          <cell r="N13">
            <v>551704</v>
          </cell>
        </row>
        <row r="14">
          <cell r="B14" t="str">
            <v>príjmy od EAO spolu rok 2012 bez  oddĺženia</v>
          </cell>
          <cell r="C14">
            <v>445863</v>
          </cell>
          <cell r="D14">
            <v>436816</v>
          </cell>
          <cell r="E14">
            <v>427059.55717000004</v>
          </cell>
          <cell r="F14">
            <v>438139.44282999996</v>
          </cell>
          <cell r="G14">
            <v>448976</v>
          </cell>
          <cell r="H14">
            <v>451458</v>
          </cell>
          <cell r="I14">
            <v>467118.80834000005</v>
          </cell>
          <cell r="J14">
            <v>459276</v>
          </cell>
          <cell r="K14">
            <v>443517</v>
          </cell>
          <cell r="L14">
            <v>457603</v>
          </cell>
          <cell r="M14">
            <v>453280</v>
          </cell>
          <cell r="N14">
            <v>541304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ývoj pohľadávok_2013"/>
      <sheetName val="Vývoj pohľadávok"/>
      <sheetName val="graf pohľadávky"/>
      <sheetName val="Stav pohľ.podľa poboč.02_13"/>
      <sheetName val="Stav pohľ.podľa poboč.04_13."/>
      <sheetName val="Stav pohľ.podľa poboč.04_13 (2"/>
      <sheetName val="Stav pohľ.podľa poboč.05_13"/>
      <sheetName val="Stav pohľ.podľa poboč.07_13 "/>
      <sheetName val="Stav pohľ.podľa poboč.07_13 (2"/>
      <sheetName val="stav pohľ.podľa pob.08_13"/>
      <sheetName val="stav pohľ.podľa pob.08_13 (2)"/>
      <sheetName val="stav pohľ.podľa pob.09_13"/>
      <sheetName val="stav pohľ.podľa pob.10_13.0"/>
      <sheetName val="stav pohľ.podľa pob.10_13.1 "/>
      <sheetName val="stav pohľ.podľa pob.11_13.0"/>
      <sheetName val="stav pohľ.podľa pob.11_13.1"/>
      <sheetName val="stav pohľ.podľa pob.12_13.0 "/>
      <sheetName val="stav pohľ.podľa pob.12_13"/>
      <sheetName val="Stav pohľ.podľa poboč.03_13 "/>
      <sheetName val="Stav pohľ.podľa poboč.03_13 (2"/>
      <sheetName val="Stav pohľ.podľa poboč(12 12"/>
      <sheetName val="Stav pohľ.podľa poboč(12 12 (2"/>
      <sheetName val="Stav pohľ.podľa poboč(11_12)"/>
      <sheetName val="Stav pohľ.podľa poboč(12_12"/>
      <sheetName val="Stav pohľ.podľa poboč.(10_12)"/>
      <sheetName val="Stav pohľ.podľa poboč.(10_1 (2"/>
      <sheetName val="Stav pohľ.podľa poboč.(09_12)"/>
      <sheetName val="Stav pohľ.podľa poboč.(09_1 (2"/>
      <sheetName val="Stav pohľ.podľa poboč.(08_1 (2"/>
      <sheetName val="Stav pohľadávok podľa poboč (2"/>
      <sheetName val="Stav pohľ podľa poboč (2"/>
      <sheetName val="Pohľ.podľa spôsobov vymáhania"/>
      <sheetName val="Exekučné návrhy_31_03_13"/>
      <sheetName val="Vydané rozhodnutia SK "/>
      <sheetName val="Mandátna správa 2012"/>
      <sheetName val="Mandátna správa_2013"/>
      <sheetName val="Pohľadávky voči  ZZ"/>
      <sheetName val="Pohľadávky podľa pobočiek  ZZ"/>
      <sheetName val="Hárok1"/>
    </sheetNames>
    <sheetDataSet>
      <sheetData sheetId="1">
        <row r="37">
          <cell r="B37" t="str">
            <v>k 31.12.2010</v>
          </cell>
          <cell r="C37">
            <v>823205</v>
          </cell>
        </row>
        <row r="38">
          <cell r="B38" t="str">
            <v> k 31.12.2011</v>
          </cell>
          <cell r="C38">
            <v>563760.21517</v>
          </cell>
        </row>
        <row r="39">
          <cell r="B39" t="str">
            <v>k 31.12.2012</v>
          </cell>
          <cell r="C39">
            <v>595319.5196600001</v>
          </cell>
        </row>
        <row r="40">
          <cell r="B40" t="str">
            <v>k 31.1.2013</v>
          </cell>
          <cell r="C40">
            <v>647672.49306</v>
          </cell>
        </row>
        <row r="41">
          <cell r="B41" t="str">
            <v>k 28.2.2013</v>
          </cell>
          <cell r="C41">
            <v>595223.2899799999</v>
          </cell>
        </row>
        <row r="42">
          <cell r="B42" t="str">
            <v>k 31.3.2013</v>
          </cell>
          <cell r="C42">
            <v>621116.0278699996</v>
          </cell>
        </row>
        <row r="43">
          <cell r="B43" t="str">
            <v>k 30.4.2013</v>
          </cell>
          <cell r="C43">
            <v>645002.68108</v>
          </cell>
        </row>
        <row r="44">
          <cell r="B44" t="str">
            <v>k 31.5.2013</v>
          </cell>
          <cell r="C44">
            <v>657829.44439</v>
          </cell>
        </row>
        <row r="45">
          <cell r="B45" t="str">
            <v>k 30.6.2013</v>
          </cell>
          <cell r="C45">
            <v>664077.94733</v>
          </cell>
        </row>
        <row r="46">
          <cell r="B46" t="str">
            <v>k 31.7.2013</v>
          </cell>
          <cell r="C46">
            <v>683016.2353800001</v>
          </cell>
        </row>
        <row r="47">
          <cell r="B47" t="str">
            <v>k 31.8.2013</v>
          </cell>
          <cell r="C47">
            <v>685952.28498</v>
          </cell>
        </row>
        <row r="48">
          <cell r="B48" t="str">
            <v>k 30.9.2013</v>
          </cell>
          <cell r="C48">
            <v>683982.5296499999</v>
          </cell>
        </row>
        <row r="49">
          <cell r="B49" t="str">
            <v>k 31.10.2013</v>
          </cell>
          <cell r="C49">
            <v>653528.3236799999</v>
          </cell>
        </row>
        <row r="50">
          <cell r="B50" t="str">
            <v>k 30.11.2013</v>
          </cell>
          <cell r="C50">
            <v>661730.7083399999</v>
          </cell>
        </row>
        <row r="51">
          <cell r="B51" t="str">
            <v>k 31.12.2013</v>
          </cell>
          <cell r="C51">
            <v>667147.8540899998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zemky 711001"/>
      <sheetName val="budovy 712"/>
      <sheetName val="dopravné 714"/>
      <sheetName val="SW 711003"/>
      <sheetName val="stroje 713"/>
      <sheetName val="projektová 716"/>
      <sheetName val="stavby 717"/>
      <sheetName val="2011,2012 a 2013"/>
      <sheetName val="2012 a 2013"/>
      <sheetName val="Graf"/>
      <sheetName val="spolu 600+700 rok 2013"/>
      <sheetName val="spolu 600 rok 2013"/>
      <sheetName val="spolu 700 rok 2013"/>
      <sheetName val="600 ústredie rok 2013"/>
      <sheetName val="600 pobočky rok 2013"/>
      <sheetName val="spolu 600+700 november 2013"/>
      <sheetName val="spolu 600 november 2013"/>
      <sheetName val="spolu 700 november 2013"/>
      <sheetName val="600 ústredie november 2013"/>
      <sheetName val="600 pobočky november 2013"/>
      <sheetName val="objed.a faktúry november 2013"/>
      <sheetName val="spolu 600+700 október 2013"/>
      <sheetName val="spolu 600 október 2013"/>
      <sheetName val="spolu 700 október 2013"/>
      <sheetName val="600 ústredie október 2013"/>
      <sheetName val="600 pobočky október 2013"/>
      <sheetName val="objed.a faktúry október 2013"/>
      <sheetName val="spolu 600+700 september 2013"/>
      <sheetName val="spolu 600 september 2013"/>
      <sheetName val="spolu 700 september 2013"/>
      <sheetName val="objed.a faktúry september 2 (2)"/>
      <sheetName val="600 ústredie september 2013"/>
      <sheetName val="600 pobočky september 2013"/>
      <sheetName val="objed.a faktúry september 2013"/>
      <sheetName val="spolu 600+700 august 2013"/>
      <sheetName val="spolu 600 august 2013"/>
      <sheetName val="spolu 700 august 2013"/>
      <sheetName val="600 ústredie august 2013"/>
      <sheetName val="600 pobočky august 2013"/>
      <sheetName val="objed.a faktúry august 2013"/>
      <sheetName val="SF august 2013"/>
      <sheetName val="Pobočky SF august 2013"/>
      <sheetName val="spolu 600+700 júl 2013"/>
      <sheetName val="spolu 600 júl 2013"/>
      <sheetName val="spolu 700 júl 2013"/>
      <sheetName val="600 ústredie júl 2013"/>
      <sheetName val="600 pobočky júl 2013"/>
      <sheetName val="objed.a faktúry júl 2013"/>
      <sheetName val="SF júl 2013"/>
      <sheetName val="Pobočky SF júl 2013"/>
      <sheetName val="spolu 600+700 jún 2013"/>
      <sheetName val="spolu 600 jún 2013"/>
      <sheetName val="spolu 700 jún 2013"/>
      <sheetName val="600 ústredie jún 2013"/>
      <sheetName val="600 pobočky jún 2013"/>
      <sheetName val="objed.a faktúry jún 2013"/>
      <sheetName val="spolu 600+700 máj 2013"/>
      <sheetName val="spolu 600 máj 2013"/>
      <sheetName val="spolu 700 máj 2013"/>
      <sheetName val="600 ústredie máj 2013"/>
      <sheetName val="600 pobočky máj 2013"/>
      <sheetName val="objed.a faktúry máj 2013"/>
      <sheetName val="spolu 600+700 apríl 2013"/>
      <sheetName val="spolu 600 apríl 2013"/>
      <sheetName val="spolu 700 apríl 2013"/>
      <sheetName val="600 ústredie apríl 2013"/>
      <sheetName val="600 pobočky apríl 2013"/>
      <sheetName val="objed.a faktúry apríl 2013"/>
      <sheetName val="spolu 600+700 marec 2013"/>
      <sheetName val="spolu 600 marec 2013"/>
      <sheetName val="spolu 700 marec 2013"/>
      <sheetName val="600 ústredie marec 2013"/>
      <sheetName val="600 pobočky marec 2013"/>
      <sheetName val="objed.a faktúry marec 2013"/>
      <sheetName val="spolu 600+700 február 2013"/>
      <sheetName val="spolu 600 február 2013"/>
      <sheetName val="spolu 700 február 2013"/>
      <sheetName val="600 ústredie február 2013"/>
      <sheetName val="600 pobočky február 2013"/>
      <sheetName val="objed.a faktúry február 2013"/>
      <sheetName val="SF január 2012"/>
      <sheetName val="spolu SF prezentácia"/>
      <sheetName val="príloha č. 11"/>
      <sheetName val="príloha č.3"/>
      <sheetName val="príloha č. 9"/>
      <sheetName val="Hárok2"/>
      <sheetName val="Hárok1"/>
      <sheetName val="Hárok3"/>
      <sheetName val="Hárok4"/>
      <sheetName val="zdroj"/>
      <sheetName val="vzor"/>
      <sheetName val="vzor1"/>
      <sheetName val="Hárok6"/>
    </sheetNames>
    <sheetDataSet>
      <sheetData sheetId="89">
        <row r="12">
          <cell r="B12" t="str">
            <v> Január </v>
          </cell>
          <cell r="C12" t="str">
            <v> Február </v>
          </cell>
          <cell r="D12" t="str">
            <v>Marec</v>
          </cell>
          <cell r="E12" t="str">
            <v>Apríl</v>
          </cell>
          <cell r="F12" t="str">
            <v>Máj</v>
          </cell>
          <cell r="G12" t="str">
            <v>Jún</v>
          </cell>
          <cell r="H12" t="str">
            <v>Júl</v>
          </cell>
          <cell r="I12" t="str">
            <v>August</v>
          </cell>
          <cell r="J12" t="str">
            <v>September</v>
          </cell>
          <cell r="K12" t="str">
            <v>Október</v>
          </cell>
          <cell r="L12" t="str">
            <v>November</v>
          </cell>
          <cell r="M12" t="str">
            <v>December</v>
          </cell>
        </row>
        <row r="13">
          <cell r="A13" t="str">
            <v>Správny fond v roku 2012</v>
          </cell>
          <cell r="B13">
            <v>8606667</v>
          </cell>
          <cell r="C13">
            <v>8662871</v>
          </cell>
          <cell r="D13">
            <v>8342284</v>
          </cell>
          <cell r="E13">
            <v>9988998</v>
          </cell>
          <cell r="F13">
            <v>8359113</v>
          </cell>
          <cell r="G13">
            <v>8434884</v>
          </cell>
          <cell r="H13">
            <v>9373749</v>
          </cell>
          <cell r="I13">
            <v>8421462</v>
          </cell>
          <cell r="J13">
            <v>8500459</v>
          </cell>
          <cell r="K13">
            <v>8702050</v>
          </cell>
          <cell r="L13">
            <v>8335463</v>
          </cell>
          <cell r="M13">
            <v>16908446</v>
          </cell>
        </row>
        <row r="14">
          <cell r="A14" t="str">
            <v>Správny fond v roku 2013</v>
          </cell>
          <cell r="B14">
            <v>11572878</v>
          </cell>
          <cell r="C14">
            <v>5229443</v>
          </cell>
          <cell r="D14">
            <v>7700431</v>
          </cell>
          <cell r="E14">
            <v>8639271</v>
          </cell>
          <cell r="F14">
            <v>8655832</v>
          </cell>
          <cell r="G14">
            <v>7927273</v>
          </cell>
          <cell r="H14">
            <v>12487771</v>
          </cell>
          <cell r="I14">
            <v>8706648</v>
          </cell>
          <cell r="J14">
            <v>8383059</v>
          </cell>
          <cell r="K14">
            <v>9140804</v>
          </cell>
          <cell r="L14">
            <v>12852995</v>
          </cell>
          <cell r="M14">
            <v>23455878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">
      <selection activeCell="D7" sqref="D7"/>
    </sheetView>
  </sheetViews>
  <sheetFormatPr defaultColWidth="8.00390625" defaultRowHeight="12.75"/>
  <cols>
    <col min="1" max="1" width="50.8515625" style="82" customWidth="1"/>
    <col min="2" max="2" width="17.00390625" style="82" customWidth="1"/>
    <col min="3" max="3" width="17.00390625" style="13" customWidth="1"/>
    <col min="4" max="4" width="17.00390625" style="82" customWidth="1"/>
    <col min="5" max="6" width="12.7109375" style="82" customWidth="1"/>
    <col min="7" max="8" width="11.7109375" style="82" customWidth="1"/>
    <col min="9" max="9" width="15.00390625" style="82" customWidth="1"/>
    <col min="10" max="16384" width="8.00390625" style="82" customWidth="1"/>
  </cols>
  <sheetData>
    <row r="1" ht="24.75" customHeight="1">
      <c r="A1" s="215"/>
    </row>
    <row r="2" ht="31.5" customHeight="1"/>
    <row r="3" spans="1:6" ht="15">
      <c r="A3" s="217" t="s">
        <v>207</v>
      </c>
      <c r="B3" s="218"/>
      <c r="C3" s="219"/>
      <c r="D3" s="218"/>
      <c r="E3" s="218"/>
      <c r="F3" s="218"/>
    </row>
    <row r="4" spans="2:6" ht="15">
      <c r="B4" s="218"/>
      <c r="C4" s="219"/>
      <c r="D4" s="218"/>
      <c r="E4" s="218"/>
      <c r="F4" s="218"/>
    </row>
    <row r="5" spans="1:8" ht="15">
      <c r="A5" s="218"/>
      <c r="B5" s="218"/>
      <c r="C5" s="219"/>
      <c r="H5" s="220" t="s">
        <v>3</v>
      </c>
    </row>
    <row r="6" spans="1:8" ht="48.75" customHeight="1">
      <c r="A6" s="221" t="s">
        <v>1</v>
      </c>
      <c r="B6" s="222" t="s">
        <v>239</v>
      </c>
      <c r="C6" s="222" t="s">
        <v>208</v>
      </c>
      <c r="D6" s="222" t="s">
        <v>240</v>
      </c>
      <c r="E6" s="222" t="s">
        <v>237</v>
      </c>
      <c r="F6" s="222" t="s">
        <v>209</v>
      </c>
      <c r="G6" s="223" t="s">
        <v>210</v>
      </c>
      <c r="H6" s="223" t="s">
        <v>238</v>
      </c>
    </row>
    <row r="7" spans="1:8" ht="14.25" customHeight="1">
      <c r="A7" s="224" t="s">
        <v>0</v>
      </c>
      <c r="B7" s="224">
        <v>1</v>
      </c>
      <c r="C7" s="225">
        <v>2</v>
      </c>
      <c r="D7" s="224">
        <v>3</v>
      </c>
      <c r="E7" s="224">
        <v>4</v>
      </c>
      <c r="F7" s="224">
        <v>5</v>
      </c>
      <c r="G7" s="226">
        <v>6</v>
      </c>
      <c r="H7" s="226">
        <v>7</v>
      </c>
    </row>
    <row r="8" spans="1:8" ht="15">
      <c r="A8" s="227" t="s">
        <v>211</v>
      </c>
      <c r="B8" s="228"/>
      <c r="C8" s="229"/>
      <c r="D8" s="228"/>
      <c r="E8" s="228"/>
      <c r="F8" s="228"/>
      <c r="G8" s="230"/>
      <c r="H8" s="230"/>
    </row>
    <row r="9" spans="1:8" ht="15">
      <c r="A9" s="230" t="s">
        <v>212</v>
      </c>
      <c r="B9" s="231">
        <v>6407850</v>
      </c>
      <c r="C9" s="231">
        <v>6712514</v>
      </c>
      <c r="D9" s="231">
        <v>6643204</v>
      </c>
      <c r="E9" s="231">
        <v>235354</v>
      </c>
      <c r="F9" s="231">
        <v>-69310</v>
      </c>
      <c r="G9" s="232">
        <v>98.96745094311908</v>
      </c>
      <c r="H9" s="232">
        <v>103.67290120711314</v>
      </c>
    </row>
    <row r="10" spans="1:8" ht="15">
      <c r="A10" s="230" t="s">
        <v>213</v>
      </c>
      <c r="B10" s="231">
        <v>1408333</v>
      </c>
      <c r="C10" s="231">
        <v>689099</v>
      </c>
      <c r="D10" s="231">
        <v>673544</v>
      </c>
      <c r="E10" s="231">
        <v>-734789</v>
      </c>
      <c r="F10" s="231">
        <v>-15555</v>
      </c>
      <c r="G10" s="232">
        <v>97.742704604128</v>
      </c>
      <c r="H10" s="232">
        <v>47.82562078712918</v>
      </c>
    </row>
    <row r="11" spans="1:8" ht="15">
      <c r="A11" s="230" t="s">
        <v>214</v>
      </c>
      <c r="B11" s="231">
        <v>6433093</v>
      </c>
      <c r="C11" s="231">
        <v>6705243</v>
      </c>
      <c r="D11" s="231">
        <v>6653267</v>
      </c>
      <c r="E11" s="231">
        <v>220174</v>
      </c>
      <c r="F11" s="231">
        <v>-51976</v>
      </c>
      <c r="G11" s="232">
        <v>99.22484539337351</v>
      </c>
      <c r="H11" s="232">
        <v>103.42252163927989</v>
      </c>
    </row>
    <row r="12" spans="1:8" ht="15">
      <c r="A12" s="230" t="s">
        <v>215</v>
      </c>
      <c r="B12" s="231">
        <v>-25243</v>
      </c>
      <c r="C12" s="231">
        <v>7271</v>
      </c>
      <c r="D12" s="231">
        <v>-10063</v>
      </c>
      <c r="E12" s="231">
        <v>15180</v>
      </c>
      <c r="F12" s="231">
        <v>-17334</v>
      </c>
      <c r="G12" s="232">
        <v>-138.39911979095035</v>
      </c>
      <c r="H12" s="232">
        <v>39.864516895773086</v>
      </c>
    </row>
    <row r="13" spans="1:8" ht="15">
      <c r="A13" s="230" t="s">
        <v>216</v>
      </c>
      <c r="B13" s="231">
        <v>556881</v>
      </c>
      <c r="C13" s="231">
        <v>549312</v>
      </c>
      <c r="D13" s="231">
        <v>531638</v>
      </c>
      <c r="E13" s="231">
        <v>-25243</v>
      </c>
      <c r="F13" s="231">
        <v>-17674</v>
      </c>
      <c r="G13" s="232">
        <v>96.78252068041478</v>
      </c>
      <c r="H13" s="232">
        <v>95.46707465329217</v>
      </c>
    </row>
    <row r="14" spans="1:8" ht="15">
      <c r="A14" s="230" t="s">
        <v>217</v>
      </c>
      <c r="B14" s="231">
        <v>531638</v>
      </c>
      <c r="C14" s="231">
        <v>556583</v>
      </c>
      <c r="D14" s="231">
        <v>521575</v>
      </c>
      <c r="E14" s="231">
        <v>-10063</v>
      </c>
      <c r="F14" s="231">
        <v>-35008</v>
      </c>
      <c r="G14" s="232">
        <v>93.71019237023049</v>
      </c>
      <c r="H14" s="232">
        <v>98.10717066876333</v>
      </c>
    </row>
    <row r="15" spans="1:8" ht="15">
      <c r="A15" s="230" t="s">
        <v>218</v>
      </c>
      <c r="B15" s="231">
        <v>6964731</v>
      </c>
      <c r="C15" s="231">
        <v>7261826</v>
      </c>
      <c r="D15" s="231">
        <v>7174842</v>
      </c>
      <c r="E15" s="231">
        <v>210111</v>
      </c>
      <c r="F15" s="231">
        <v>-86984</v>
      </c>
      <c r="G15" s="232">
        <v>98.8021745494866</v>
      </c>
      <c r="H15" s="232">
        <v>103.01678557291014</v>
      </c>
    </row>
    <row r="16" spans="1:8" ht="15">
      <c r="A16" s="230"/>
      <c r="B16" s="231"/>
      <c r="C16" s="233"/>
      <c r="D16" s="234"/>
      <c r="E16" s="234"/>
      <c r="F16" s="234"/>
      <c r="G16" s="235"/>
      <c r="H16" s="235"/>
    </row>
    <row r="17" spans="1:8" ht="15">
      <c r="A17" s="236" t="s">
        <v>219</v>
      </c>
      <c r="B17" s="237">
        <v>6407850</v>
      </c>
      <c r="C17" s="237">
        <v>6712514</v>
      </c>
      <c r="D17" s="237">
        <v>6643204</v>
      </c>
      <c r="E17" s="231">
        <v>235354</v>
      </c>
      <c r="F17" s="231">
        <v>-69310</v>
      </c>
      <c r="G17" s="232">
        <v>98.96745094311908</v>
      </c>
      <c r="H17" s="232">
        <v>103.67290120711314</v>
      </c>
    </row>
    <row r="18" spans="1:9" ht="15">
      <c r="A18" s="230" t="s">
        <v>220</v>
      </c>
      <c r="B18" s="231">
        <v>4949094</v>
      </c>
      <c r="C18" s="231">
        <v>5973542</v>
      </c>
      <c r="D18" s="231">
        <v>5924635</v>
      </c>
      <c r="E18" s="231">
        <v>975541</v>
      </c>
      <c r="F18" s="231">
        <v>-48907</v>
      </c>
      <c r="G18" s="232">
        <v>99.18127302026168</v>
      </c>
      <c r="H18" s="232">
        <v>119.71150679296049</v>
      </c>
      <c r="I18" s="216"/>
    </row>
    <row r="19" spans="1:8" ht="15">
      <c r="A19" s="230" t="s">
        <v>221</v>
      </c>
      <c r="B19" s="231">
        <v>412673</v>
      </c>
      <c r="C19" s="231">
        <v>506252</v>
      </c>
      <c r="D19" s="231">
        <v>482783</v>
      </c>
      <c r="E19" s="231">
        <v>70110</v>
      </c>
      <c r="F19" s="231">
        <v>-23469</v>
      </c>
      <c r="G19" s="232">
        <v>95.36416646255225</v>
      </c>
      <c r="H19" s="232">
        <v>116.98923845272165</v>
      </c>
    </row>
    <row r="20" spans="1:8" ht="15">
      <c r="A20" s="230" t="s">
        <v>222</v>
      </c>
      <c r="B20" s="231">
        <v>2309129</v>
      </c>
      <c r="C20" s="231">
        <v>3082050</v>
      </c>
      <c r="D20" s="231">
        <v>3085014</v>
      </c>
      <c r="E20" s="231">
        <v>775885</v>
      </c>
      <c r="F20" s="231">
        <v>2964</v>
      </c>
      <c r="G20" s="232">
        <v>100.09616975714218</v>
      </c>
      <c r="H20" s="232">
        <v>133.60076461730807</v>
      </c>
    </row>
    <row r="21" spans="1:8" ht="15">
      <c r="A21" s="230" t="s">
        <v>223</v>
      </c>
      <c r="B21" s="231">
        <v>990932</v>
      </c>
      <c r="C21" s="231">
        <v>1057286</v>
      </c>
      <c r="D21" s="231">
        <v>1049260</v>
      </c>
      <c r="E21" s="231">
        <v>58328</v>
      </c>
      <c r="F21" s="231">
        <v>-8026</v>
      </c>
      <c r="G21" s="232">
        <v>99.24088657184528</v>
      </c>
      <c r="H21" s="232">
        <v>105.88617584254017</v>
      </c>
    </row>
    <row r="22" spans="1:8" ht="15">
      <c r="A22" s="230" t="s">
        <v>224</v>
      </c>
      <c r="B22" s="231">
        <v>134266</v>
      </c>
      <c r="C22" s="231">
        <v>135412</v>
      </c>
      <c r="D22" s="231">
        <v>135020</v>
      </c>
      <c r="E22" s="231">
        <v>754</v>
      </c>
      <c r="F22" s="231">
        <v>-392</v>
      </c>
      <c r="G22" s="232">
        <v>99.71051310075917</v>
      </c>
      <c r="H22" s="232">
        <v>100.56157180522247</v>
      </c>
    </row>
    <row r="23" spans="1:8" ht="15">
      <c r="A23" s="82" t="s">
        <v>225</v>
      </c>
      <c r="B23" s="231">
        <v>28484</v>
      </c>
      <c r="C23" s="231">
        <v>33933</v>
      </c>
      <c r="D23" s="231">
        <v>32756</v>
      </c>
      <c r="E23" s="231">
        <v>4272</v>
      </c>
      <c r="F23" s="231">
        <v>-1177</v>
      </c>
      <c r="G23" s="232">
        <v>96.53140011198539</v>
      </c>
      <c r="H23" s="232">
        <v>114.99789355427608</v>
      </c>
    </row>
    <row r="24" spans="1:8" ht="15">
      <c r="A24" s="230" t="s">
        <v>226</v>
      </c>
      <c r="B24" s="231">
        <v>291734</v>
      </c>
      <c r="C24" s="231">
        <v>307876</v>
      </c>
      <c r="D24" s="231">
        <v>306305</v>
      </c>
      <c r="E24" s="231">
        <v>14571</v>
      </c>
      <c r="F24" s="231">
        <v>-1571</v>
      </c>
      <c r="G24" s="232">
        <v>99.48972963141006</v>
      </c>
      <c r="H24" s="232">
        <v>104.99461838524135</v>
      </c>
    </row>
    <row r="25" spans="1:8" ht="15">
      <c r="A25" s="230" t="s">
        <v>227</v>
      </c>
      <c r="B25" s="231">
        <v>781876</v>
      </c>
      <c r="C25" s="231">
        <v>850733</v>
      </c>
      <c r="D25" s="231">
        <v>833497</v>
      </c>
      <c r="E25" s="231">
        <v>51621</v>
      </c>
      <c r="F25" s="231">
        <v>-17236</v>
      </c>
      <c r="G25" s="232">
        <v>97.97398243632256</v>
      </c>
      <c r="H25" s="232">
        <v>106.60219779095405</v>
      </c>
    </row>
    <row r="26" spans="1:8" ht="15">
      <c r="A26" s="230" t="s">
        <v>228</v>
      </c>
      <c r="B26" s="231">
        <v>16360</v>
      </c>
      <c r="C26" s="231">
        <v>4445</v>
      </c>
      <c r="D26" s="231">
        <v>14645</v>
      </c>
      <c r="E26" s="231">
        <v>-1715</v>
      </c>
      <c r="F26" s="231">
        <v>10200</v>
      </c>
      <c r="G26" s="232">
        <v>329.4713160854893</v>
      </c>
      <c r="H26" s="232">
        <v>89.51711491442543</v>
      </c>
    </row>
    <row r="27" spans="1:8" ht="15">
      <c r="A27" s="230" t="s">
        <v>88</v>
      </c>
      <c r="B27" s="231">
        <v>16131</v>
      </c>
      <c r="C27" s="231">
        <v>15574</v>
      </c>
      <c r="D27" s="231">
        <v>20111</v>
      </c>
      <c r="E27" s="231">
        <v>3980</v>
      </c>
      <c r="F27" s="231">
        <v>4537</v>
      </c>
      <c r="G27" s="232">
        <v>129.13188647746244</v>
      </c>
      <c r="H27" s="232">
        <v>124.67298989523279</v>
      </c>
    </row>
    <row r="28" spans="1:8" ht="15">
      <c r="A28" s="230" t="s">
        <v>229</v>
      </c>
      <c r="B28" s="231">
        <v>17932</v>
      </c>
      <c r="C28" s="231">
        <v>29854</v>
      </c>
      <c r="D28" s="231">
        <v>10269</v>
      </c>
      <c r="E28" s="231">
        <v>-7663</v>
      </c>
      <c r="F28" s="231">
        <v>-19585</v>
      </c>
      <c r="G28" s="232">
        <v>34.39740068332552</v>
      </c>
      <c r="H28" s="232">
        <v>57.266339504795894</v>
      </c>
    </row>
    <row r="29" spans="1:8" ht="15">
      <c r="A29" s="230" t="s">
        <v>230</v>
      </c>
      <c r="B29" s="231">
        <v>1408333</v>
      </c>
      <c r="C29" s="231">
        <v>689099</v>
      </c>
      <c r="D29" s="231">
        <v>673544</v>
      </c>
      <c r="E29" s="231">
        <v>-734789</v>
      </c>
      <c r="F29" s="231">
        <v>-15555</v>
      </c>
      <c r="G29" s="232">
        <v>97.742704604128</v>
      </c>
      <c r="H29" s="232">
        <v>47.82562078712918</v>
      </c>
    </row>
    <row r="30" spans="1:8" ht="15">
      <c r="A30" s="238"/>
      <c r="B30" s="234"/>
      <c r="C30" s="234"/>
      <c r="D30" s="234"/>
      <c r="E30" s="234"/>
      <c r="F30" s="234"/>
      <c r="G30" s="235"/>
      <c r="H30" s="235"/>
    </row>
    <row r="31" spans="1:8" ht="15">
      <c r="A31" s="236" t="s">
        <v>231</v>
      </c>
      <c r="B31" s="237">
        <v>6433093</v>
      </c>
      <c r="C31" s="237">
        <v>6705243</v>
      </c>
      <c r="D31" s="237">
        <v>6653267</v>
      </c>
      <c r="E31" s="231">
        <v>220174</v>
      </c>
      <c r="F31" s="231">
        <v>-51976</v>
      </c>
      <c r="G31" s="232">
        <v>99.22484539337351</v>
      </c>
      <c r="H31" s="232">
        <v>103.42252163927989</v>
      </c>
    </row>
    <row r="32" spans="1:8" ht="15">
      <c r="A32" s="230" t="s">
        <v>232</v>
      </c>
      <c r="B32" s="231">
        <v>6320456</v>
      </c>
      <c r="C32" s="231">
        <v>6586943</v>
      </c>
      <c r="D32" s="231">
        <v>6528515</v>
      </c>
      <c r="E32" s="231">
        <v>208059</v>
      </c>
      <c r="F32" s="231">
        <v>-58428</v>
      </c>
      <c r="G32" s="232">
        <v>99.11297243653088</v>
      </c>
      <c r="H32" s="232">
        <v>103.29183527264489</v>
      </c>
    </row>
    <row r="33" spans="1:8" ht="15">
      <c r="A33" s="230" t="s">
        <v>7</v>
      </c>
      <c r="B33" s="231">
        <v>428160</v>
      </c>
      <c r="C33" s="231">
        <v>452273</v>
      </c>
      <c r="D33" s="231">
        <v>399434</v>
      </c>
      <c r="E33" s="231">
        <v>-28726</v>
      </c>
      <c r="F33" s="231">
        <v>-52839</v>
      </c>
      <c r="G33" s="232">
        <v>88.31701207014348</v>
      </c>
      <c r="H33" s="232">
        <v>93.29082585949178</v>
      </c>
    </row>
    <row r="34" spans="1:8" ht="15">
      <c r="A34" s="230" t="s">
        <v>13</v>
      </c>
      <c r="B34" s="231">
        <v>4760341</v>
      </c>
      <c r="C34" s="231">
        <v>4960919</v>
      </c>
      <c r="D34" s="231">
        <v>4992741</v>
      </c>
      <c r="E34" s="231">
        <v>232400</v>
      </c>
      <c r="F34" s="231">
        <v>31822</v>
      </c>
      <c r="G34" s="232">
        <v>100.6414537306495</v>
      </c>
      <c r="H34" s="232">
        <v>104.88200320103118</v>
      </c>
    </row>
    <row r="35" spans="1:8" ht="15">
      <c r="A35" s="230" t="s">
        <v>20</v>
      </c>
      <c r="B35" s="231">
        <v>879489</v>
      </c>
      <c r="C35" s="231">
        <v>933662</v>
      </c>
      <c r="D35" s="231">
        <v>901454</v>
      </c>
      <c r="E35" s="231">
        <v>21965</v>
      </c>
      <c r="F35" s="231">
        <v>-32208</v>
      </c>
      <c r="G35" s="232">
        <v>96.55035762406524</v>
      </c>
      <c r="H35" s="232">
        <v>102.49747296441456</v>
      </c>
    </row>
    <row r="36" spans="1:8" ht="15">
      <c r="A36" s="230" t="s">
        <v>25</v>
      </c>
      <c r="B36" s="231">
        <v>43216</v>
      </c>
      <c r="C36" s="231">
        <v>45665</v>
      </c>
      <c r="D36" s="231">
        <v>44280</v>
      </c>
      <c r="E36" s="231">
        <v>1064</v>
      </c>
      <c r="F36" s="231">
        <v>-1385</v>
      </c>
      <c r="G36" s="232">
        <v>96.96704259279537</v>
      </c>
      <c r="H36" s="232">
        <v>102.46205109218809</v>
      </c>
    </row>
    <row r="37" spans="1:8" ht="15">
      <c r="A37" s="230" t="s">
        <v>39</v>
      </c>
      <c r="B37" s="231">
        <v>33477</v>
      </c>
      <c r="C37" s="231">
        <v>22528</v>
      </c>
      <c r="D37" s="231">
        <v>16298</v>
      </c>
      <c r="E37" s="231">
        <v>-17179</v>
      </c>
      <c r="F37" s="231">
        <v>-6230</v>
      </c>
      <c r="G37" s="232">
        <v>72.34552556818183</v>
      </c>
      <c r="H37" s="232">
        <v>48.684171222033044</v>
      </c>
    </row>
    <row r="38" spans="1:8" ht="15">
      <c r="A38" s="230" t="s">
        <v>43</v>
      </c>
      <c r="B38" s="231">
        <v>175773</v>
      </c>
      <c r="C38" s="231">
        <v>171896</v>
      </c>
      <c r="D38" s="231">
        <v>174308</v>
      </c>
      <c r="E38" s="231">
        <v>-1465</v>
      </c>
      <c r="F38" s="231">
        <v>2412</v>
      </c>
      <c r="G38" s="232">
        <v>101.4031740121934</v>
      </c>
      <c r="H38" s="232">
        <v>99.16653866065892</v>
      </c>
    </row>
    <row r="39" spans="1:8" ht="15">
      <c r="A39" s="230" t="s">
        <v>233</v>
      </c>
      <c r="B39" s="231">
        <v>112637</v>
      </c>
      <c r="C39" s="231">
        <v>118300</v>
      </c>
      <c r="D39" s="231">
        <v>124752</v>
      </c>
      <c r="E39" s="231">
        <v>12115</v>
      </c>
      <c r="F39" s="231">
        <v>6452</v>
      </c>
      <c r="G39" s="232">
        <v>105.45393068469993</v>
      </c>
      <c r="H39" s="232">
        <v>110.75579072596038</v>
      </c>
    </row>
    <row r="40" spans="1:8" ht="15">
      <c r="A40" s="238"/>
      <c r="B40" s="238"/>
      <c r="C40" s="238"/>
      <c r="D40" s="238"/>
      <c r="E40" s="238"/>
      <c r="F40" s="238"/>
      <c r="G40" s="238"/>
      <c r="H40" s="238"/>
    </row>
    <row r="41" spans="1:8" ht="15">
      <c r="A41" s="239" t="s">
        <v>233</v>
      </c>
      <c r="B41" s="239"/>
      <c r="C41" s="240"/>
      <c r="D41" s="239"/>
      <c r="E41" s="239"/>
      <c r="F41" s="239"/>
      <c r="G41" s="241"/>
      <c r="H41" s="241"/>
    </row>
    <row r="42" spans="1:8" ht="15">
      <c r="A42" s="242" t="s">
        <v>234</v>
      </c>
      <c r="B42" s="243">
        <v>123689</v>
      </c>
      <c r="C42" s="243">
        <v>145686</v>
      </c>
      <c r="D42" s="243">
        <v>143319</v>
      </c>
      <c r="E42" s="243">
        <v>19630</v>
      </c>
      <c r="F42" s="243">
        <v>-2367</v>
      </c>
      <c r="G42" s="232">
        <v>98.37527284708209</v>
      </c>
      <c r="H42" s="232">
        <v>115.87044927196438</v>
      </c>
    </row>
    <row r="43" spans="1:8" ht="15">
      <c r="A43" s="242" t="s">
        <v>235</v>
      </c>
      <c r="B43" s="243">
        <v>112637</v>
      </c>
      <c r="C43" s="243">
        <v>118300</v>
      </c>
      <c r="D43" s="243">
        <v>124752</v>
      </c>
      <c r="E43" s="243">
        <v>12115</v>
      </c>
      <c r="F43" s="243">
        <v>6452</v>
      </c>
      <c r="G43" s="232">
        <v>105.45393068469993</v>
      </c>
      <c r="H43" s="232">
        <v>110.75579072596038</v>
      </c>
    </row>
    <row r="44" spans="1:8" ht="15">
      <c r="A44" s="230" t="s">
        <v>215</v>
      </c>
      <c r="B44" s="243">
        <v>11052</v>
      </c>
      <c r="C44" s="243">
        <v>27386</v>
      </c>
      <c r="D44" s="243">
        <v>18567</v>
      </c>
      <c r="E44" s="243">
        <v>7515</v>
      </c>
      <c r="F44" s="243">
        <v>-8819</v>
      </c>
      <c r="G44" s="232">
        <v>67.79741473745709</v>
      </c>
      <c r="H44" s="232">
        <v>167.99674267100977</v>
      </c>
    </row>
    <row r="45" spans="1:8" ht="15">
      <c r="A45" s="230" t="s">
        <v>216</v>
      </c>
      <c r="B45" s="243">
        <v>43526</v>
      </c>
      <c r="C45" s="243">
        <v>53943</v>
      </c>
      <c r="D45" s="243">
        <v>54578</v>
      </c>
      <c r="E45" s="243">
        <v>11052</v>
      </c>
      <c r="F45" s="243">
        <v>635</v>
      </c>
      <c r="G45" s="232">
        <v>101.17716849266817</v>
      </c>
      <c r="H45" s="232">
        <v>125.39171989155906</v>
      </c>
    </row>
    <row r="46" spans="1:8" ht="15">
      <c r="A46" s="238" t="s">
        <v>217</v>
      </c>
      <c r="B46" s="244">
        <v>54578</v>
      </c>
      <c r="C46" s="244">
        <v>81329</v>
      </c>
      <c r="D46" s="244">
        <v>73145</v>
      </c>
      <c r="E46" s="244">
        <v>18567</v>
      </c>
      <c r="F46" s="244">
        <v>-8184</v>
      </c>
      <c r="G46" s="235">
        <v>89.93716878358273</v>
      </c>
      <c r="H46" s="235">
        <v>134.01920187621386</v>
      </c>
    </row>
    <row r="48" ht="15">
      <c r="A48" s="245" t="s">
        <v>236</v>
      </c>
    </row>
    <row r="49" spans="1:3" ht="15">
      <c r="A49" s="246"/>
      <c r="C49" s="82"/>
    </row>
  </sheetData>
  <sheetProtection/>
  <printOptions horizontalCentered="1"/>
  <pageMargins left="0.5511811023622047" right="0.5905511811023623" top="0.4330708661417323" bottom="0.5118110236220472" header="0.5118110236220472" footer="0.5118110236220472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16"/>
  <sheetViews>
    <sheetView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19.140625" style="790" customWidth="1"/>
    <col min="2" max="2" width="17.8515625" style="790" customWidth="1"/>
    <col min="3" max="3" width="25.8515625" style="790" customWidth="1"/>
    <col min="4" max="4" width="17.8515625" style="790" customWidth="1"/>
    <col min="5" max="16384" width="9.140625" style="790" customWidth="1"/>
  </cols>
  <sheetData>
    <row r="1" ht="13.5">
      <c r="D1" s="797"/>
    </row>
    <row r="2" spans="1:4" ht="13.5">
      <c r="A2" s="768"/>
      <c r="B2" s="768"/>
      <c r="C2" s="768"/>
      <c r="D2" s="768"/>
    </row>
    <row r="3" spans="1:4" ht="25.5" customHeight="1">
      <c r="A3" s="1088" t="s">
        <v>988</v>
      </c>
      <c r="B3" s="1088"/>
      <c r="C3" s="1088"/>
      <c r="D3" s="1088"/>
    </row>
    <row r="4" spans="1:4" ht="70.5" customHeight="1">
      <c r="A4" s="924" t="s">
        <v>989</v>
      </c>
      <c r="B4" s="925" t="s">
        <v>990</v>
      </c>
      <c r="C4" s="925" t="s">
        <v>991</v>
      </c>
      <c r="D4" s="925" t="s">
        <v>992</v>
      </c>
    </row>
    <row r="5" spans="1:4" ht="19.5" customHeight="1">
      <c r="A5" s="926">
        <v>41305</v>
      </c>
      <c r="B5" s="214">
        <v>143</v>
      </c>
      <c r="C5" s="214">
        <v>352.9167499999999</v>
      </c>
      <c r="D5" s="214">
        <v>20.808869999999995</v>
      </c>
    </row>
    <row r="6" spans="1:4" ht="19.5" customHeight="1">
      <c r="A6" s="926">
        <v>41333</v>
      </c>
      <c r="B6" s="214">
        <v>247</v>
      </c>
      <c r="C6" s="214">
        <v>1840.88632</v>
      </c>
      <c r="D6" s="214">
        <v>76.48719000000001</v>
      </c>
    </row>
    <row r="7" spans="1:4" ht="19.5" customHeight="1">
      <c r="A7" s="926">
        <v>41364</v>
      </c>
      <c r="B7" s="214">
        <v>377</v>
      </c>
      <c r="C7" s="214">
        <v>2071.87147</v>
      </c>
      <c r="D7" s="214">
        <v>166.59764</v>
      </c>
    </row>
    <row r="8" spans="1:4" ht="19.5" customHeight="1">
      <c r="A8" s="926">
        <v>41394</v>
      </c>
      <c r="B8" s="214">
        <v>491</v>
      </c>
      <c r="C8" s="214">
        <v>2557.6208599999995</v>
      </c>
      <c r="D8" s="214">
        <v>294.72310000000004</v>
      </c>
    </row>
    <row r="9" spans="1:4" ht="19.5" customHeight="1">
      <c r="A9" s="926">
        <v>41425</v>
      </c>
      <c r="B9" s="214">
        <v>592</v>
      </c>
      <c r="C9" s="214">
        <v>2768.55671</v>
      </c>
      <c r="D9" s="214">
        <v>459.93510000000003</v>
      </c>
    </row>
    <row r="10" spans="1:4" ht="19.5" customHeight="1">
      <c r="A10" s="926">
        <v>41455</v>
      </c>
      <c r="B10" s="214">
        <v>736</v>
      </c>
      <c r="C10" s="214">
        <v>3164.5297199999995</v>
      </c>
      <c r="D10" s="214">
        <v>649.1825</v>
      </c>
    </row>
    <row r="11" spans="1:4" ht="19.5" customHeight="1">
      <c r="A11" s="926">
        <v>41486</v>
      </c>
      <c r="B11" s="214">
        <v>847</v>
      </c>
      <c r="C11" s="214">
        <v>3455</v>
      </c>
      <c r="D11" s="214">
        <v>903</v>
      </c>
    </row>
    <row r="12" spans="1:4" ht="19.5" customHeight="1">
      <c r="A12" s="926">
        <v>41517</v>
      </c>
      <c r="B12" s="214">
        <v>936</v>
      </c>
      <c r="C12" s="214">
        <v>3665.0133400000004</v>
      </c>
      <c r="D12" s="214">
        <v>1131.3202800000006</v>
      </c>
    </row>
    <row r="13" spans="1:4" ht="19.5" customHeight="1">
      <c r="A13" s="926">
        <v>41547</v>
      </c>
      <c r="B13" s="214">
        <v>1039</v>
      </c>
      <c r="C13" s="214">
        <v>3917.182549999999</v>
      </c>
      <c r="D13" s="214">
        <v>1339.68527</v>
      </c>
    </row>
    <row r="14" spans="1:4" ht="19.5" customHeight="1">
      <c r="A14" s="926">
        <v>41578</v>
      </c>
      <c r="B14" s="927">
        <v>1155</v>
      </c>
      <c r="C14" s="927">
        <v>4128.76628</v>
      </c>
      <c r="D14" s="927">
        <v>1544.71286</v>
      </c>
    </row>
    <row r="15" spans="1:4" ht="19.5" customHeight="1">
      <c r="A15" s="926">
        <v>41608</v>
      </c>
      <c r="B15" s="927">
        <v>1266</v>
      </c>
      <c r="C15" s="927">
        <v>4958.42024</v>
      </c>
      <c r="D15" s="927">
        <v>1787.97028</v>
      </c>
    </row>
    <row r="16" spans="1:4" ht="19.5" customHeight="1">
      <c r="A16" s="926">
        <v>41639</v>
      </c>
      <c r="B16" s="927">
        <v>1361</v>
      </c>
      <c r="C16" s="927">
        <v>5107.63606</v>
      </c>
      <c r="D16" s="927">
        <v>2061.01737</v>
      </c>
    </row>
    <row r="17" ht="19.5" customHeight="1"/>
    <row r="18" ht="19.5" customHeight="1"/>
  </sheetData>
  <sheetProtection/>
  <mergeCells count="1">
    <mergeCell ref="A3:D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3:V20"/>
  <sheetViews>
    <sheetView zoomScalePageLayoutView="0" workbookViewId="0" topLeftCell="B3">
      <selection activeCell="E22" sqref="E22"/>
    </sheetView>
  </sheetViews>
  <sheetFormatPr defaultColWidth="9.140625" defaultRowHeight="12.75"/>
  <cols>
    <col min="1" max="1" width="9.140625" style="790" customWidth="1"/>
    <col min="2" max="2" width="34.28125" style="790" customWidth="1"/>
    <col min="3" max="3" width="18.00390625" style="790" customWidth="1"/>
    <col min="4" max="15" width="8.7109375" style="790" customWidth="1"/>
    <col min="16" max="20" width="12.7109375" style="790" customWidth="1"/>
    <col min="21" max="21" width="25.00390625" style="790" customWidth="1"/>
    <col min="22" max="22" width="12.28125" style="790" customWidth="1"/>
    <col min="23" max="16384" width="9.140625" style="790" customWidth="1"/>
  </cols>
  <sheetData>
    <row r="3" spans="2:20" ht="52.5" customHeight="1">
      <c r="B3" s="1091" t="s">
        <v>993</v>
      </c>
      <c r="C3" s="1091"/>
      <c r="D3" s="1091"/>
      <c r="E3" s="1091"/>
      <c r="F3" s="1091"/>
      <c r="G3" s="1091"/>
      <c r="H3" s="1091"/>
      <c r="I3" s="1091"/>
      <c r="J3" s="1091"/>
      <c r="K3" s="1091"/>
      <c r="L3" s="1091"/>
      <c r="M3" s="1091"/>
      <c r="N3" s="1091"/>
      <c r="O3" s="1091"/>
      <c r="P3" s="93"/>
      <c r="Q3" s="93"/>
      <c r="R3" s="93"/>
      <c r="S3" s="93"/>
      <c r="T3" s="93"/>
    </row>
    <row r="4" spans="2:20" ht="13.5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93"/>
      <c r="P4" s="93"/>
      <c r="Q4" s="93"/>
      <c r="R4" s="93"/>
      <c r="S4" s="93"/>
      <c r="T4" s="93"/>
    </row>
    <row r="5" spans="2:20" ht="24" customHeight="1">
      <c r="B5" s="1089" t="s">
        <v>994</v>
      </c>
      <c r="C5" s="1089"/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"/>
      <c r="P5" s="93"/>
      <c r="Q5" s="93"/>
      <c r="R5" s="93"/>
      <c r="S5" s="93"/>
      <c r="T5" s="93"/>
    </row>
    <row r="6" spans="2:20" ht="21" customHeight="1">
      <c r="B6" s="1089"/>
      <c r="C6" s="1089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"/>
      <c r="P6" s="93"/>
      <c r="Q6" s="93"/>
      <c r="R6" s="93"/>
      <c r="S6" s="93"/>
      <c r="T6" s="93"/>
    </row>
    <row r="7" spans="2:22" ht="32.25" customHeight="1">
      <c r="B7" s="929" t="s">
        <v>995</v>
      </c>
      <c r="C7" s="930">
        <v>36662.259090000254</v>
      </c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"/>
      <c r="P7" s="93"/>
      <c r="Q7" s="93"/>
      <c r="R7" s="93"/>
      <c r="S7" s="93"/>
      <c r="T7" s="93"/>
      <c r="V7" s="793"/>
    </row>
    <row r="8" spans="2:22" ht="30.75" customHeight="1">
      <c r="B8" s="929" t="s">
        <v>996</v>
      </c>
      <c r="C8" s="930">
        <v>7011.783330000003</v>
      </c>
      <c r="D8" s="938"/>
      <c r="E8" s="938"/>
      <c r="F8" s="939"/>
      <c r="G8" s="938"/>
      <c r="H8" s="938"/>
      <c r="I8" s="938"/>
      <c r="J8" s="938"/>
      <c r="K8" s="938"/>
      <c r="L8" s="938"/>
      <c r="M8" s="938"/>
      <c r="N8" s="938"/>
      <c r="O8" s="931"/>
      <c r="P8" s="93"/>
      <c r="Q8" s="93"/>
      <c r="R8" s="93"/>
      <c r="S8" s="93"/>
      <c r="T8" s="93"/>
      <c r="U8" s="794"/>
      <c r="V8" s="794"/>
    </row>
    <row r="9" spans="2:22" ht="13.5">
      <c r="B9" s="928" t="s">
        <v>997</v>
      </c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32"/>
      <c r="P9" s="93"/>
      <c r="Q9" s="93"/>
      <c r="R9" s="93"/>
      <c r="S9" s="93"/>
      <c r="T9" s="93"/>
      <c r="U9" s="794"/>
      <c r="V9" s="794"/>
    </row>
    <row r="10" spans="2:22" ht="13.5">
      <c r="B10" s="928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32"/>
      <c r="P10" s="93"/>
      <c r="Q10" s="93"/>
      <c r="R10" s="93"/>
      <c r="S10" s="93"/>
      <c r="T10" s="93"/>
      <c r="U10" s="794"/>
      <c r="V10" s="794"/>
    </row>
    <row r="11" spans="2:22" ht="13.5"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3"/>
      <c r="P11" s="93"/>
      <c r="Q11" s="93"/>
      <c r="R11" s="93"/>
      <c r="S11" s="93"/>
      <c r="T11" s="93"/>
      <c r="U11" s="794"/>
      <c r="V11" s="794"/>
    </row>
    <row r="12" spans="2:20" ht="33" customHeight="1">
      <c r="B12" s="1089" t="s">
        <v>998</v>
      </c>
      <c r="C12" s="1089"/>
      <c r="D12" s="1089" t="s">
        <v>999</v>
      </c>
      <c r="E12" s="1089"/>
      <c r="F12" s="1089"/>
      <c r="G12" s="1089"/>
      <c r="H12" s="1089"/>
      <c r="I12" s="1089"/>
      <c r="J12" s="1089"/>
      <c r="K12" s="1089"/>
      <c r="L12" s="1089"/>
      <c r="M12" s="1089"/>
      <c r="N12" s="1089"/>
      <c r="O12" s="933" t="s">
        <v>1000</v>
      </c>
      <c r="P12" s="93"/>
      <c r="Q12" s="93"/>
      <c r="R12" s="93"/>
      <c r="S12" s="93"/>
      <c r="T12" s="93"/>
    </row>
    <row r="13" spans="2:20" ht="22.5" customHeight="1">
      <c r="B13" s="1089"/>
      <c r="C13" s="1089"/>
      <c r="D13" s="934" t="s">
        <v>1001</v>
      </c>
      <c r="E13" s="934" t="s">
        <v>1002</v>
      </c>
      <c r="F13" s="934" t="s">
        <v>1003</v>
      </c>
      <c r="G13" s="934" t="s">
        <v>1004</v>
      </c>
      <c r="H13" s="934" t="s">
        <v>1005</v>
      </c>
      <c r="I13" s="934" t="s">
        <v>1006</v>
      </c>
      <c r="J13" s="934" t="s">
        <v>1007</v>
      </c>
      <c r="K13" s="934" t="s">
        <v>1008</v>
      </c>
      <c r="L13" s="934" t="s">
        <v>1009</v>
      </c>
      <c r="M13" s="934" t="s">
        <v>1010</v>
      </c>
      <c r="N13" s="934" t="s">
        <v>1011</v>
      </c>
      <c r="O13" s="934"/>
      <c r="P13" s="93"/>
      <c r="Q13" s="93"/>
      <c r="R13" s="93"/>
      <c r="S13" s="93"/>
      <c r="T13" s="93"/>
    </row>
    <row r="14" spans="2:20" ht="13.5">
      <c r="B14" s="1090" t="s">
        <v>1012</v>
      </c>
      <c r="C14" s="935" t="s">
        <v>1013</v>
      </c>
      <c r="D14" s="930">
        <v>4199</v>
      </c>
      <c r="E14" s="930">
        <v>5938</v>
      </c>
      <c r="F14" s="930">
        <v>5077</v>
      </c>
      <c r="G14" s="930">
        <v>3916</v>
      </c>
      <c r="H14" s="930">
        <v>3736</v>
      </c>
      <c r="I14" s="930">
        <v>10624</v>
      </c>
      <c r="J14" s="930">
        <v>14011</v>
      </c>
      <c r="K14" s="930">
        <v>13387</v>
      </c>
      <c r="L14" s="936">
        <v>11700</v>
      </c>
      <c r="M14" s="936">
        <v>8803</v>
      </c>
      <c r="N14" s="936">
        <v>6927</v>
      </c>
      <c r="O14" s="930">
        <f>SUM(D14:N14)</f>
        <v>88318</v>
      </c>
      <c r="P14" s="204"/>
      <c r="Q14" s="93"/>
      <c r="R14" s="93"/>
      <c r="S14" s="93"/>
      <c r="T14" s="93"/>
    </row>
    <row r="15" spans="2:20" ht="13.5">
      <c r="B15" s="1090"/>
      <c r="C15" s="935" t="s">
        <v>1014</v>
      </c>
      <c r="D15" s="930">
        <v>3337.99802</v>
      </c>
      <c r="E15" s="930">
        <v>3227.77875</v>
      </c>
      <c r="F15" s="930">
        <v>2391.96727</v>
      </c>
      <c r="G15" s="930">
        <v>2795.79258</v>
      </c>
      <c r="H15" s="930">
        <v>2348.2169700000004</v>
      </c>
      <c r="I15" s="930">
        <v>4234.21327000009</v>
      </c>
      <c r="J15" s="930">
        <v>4363.503490000053</v>
      </c>
      <c r="K15" s="930">
        <v>3767.05928</v>
      </c>
      <c r="L15" s="936">
        <v>3399.8207900001066</v>
      </c>
      <c r="M15" s="936">
        <v>3722.18901</v>
      </c>
      <c r="N15" s="936">
        <v>3073.71966</v>
      </c>
      <c r="O15" s="930">
        <f>SUM(D15:N15)</f>
        <v>36662.259090000254</v>
      </c>
      <c r="P15" s="93"/>
      <c r="Q15" s="93"/>
      <c r="R15" s="93"/>
      <c r="S15" s="93"/>
      <c r="T15" s="93"/>
    </row>
    <row r="16" spans="2:20" ht="13.5">
      <c r="B16" s="933" t="s">
        <v>1015</v>
      </c>
      <c r="C16" s="935" t="s">
        <v>1014</v>
      </c>
      <c r="D16" s="930">
        <v>432.2282299999999</v>
      </c>
      <c r="E16" s="930">
        <v>694.8323899999999</v>
      </c>
      <c r="F16" s="930">
        <v>530.8578699999999</v>
      </c>
      <c r="G16" s="930">
        <v>542.05257</v>
      </c>
      <c r="H16" s="930">
        <v>262.1497999999999</v>
      </c>
      <c r="I16" s="930">
        <v>1280.1077300000004</v>
      </c>
      <c r="J16" s="930">
        <v>909.3232400000004</v>
      </c>
      <c r="K16" s="930">
        <v>737.9118500000001</v>
      </c>
      <c r="L16" s="930">
        <v>828.7258300000002</v>
      </c>
      <c r="M16" s="937">
        <v>470.50456999999994</v>
      </c>
      <c r="N16" s="937">
        <v>294.79473999999993</v>
      </c>
      <c r="O16" s="930">
        <f>SUM(D16:N16)</f>
        <v>6983.488820000001</v>
      </c>
      <c r="P16" s="93"/>
      <c r="Q16" s="93"/>
      <c r="R16" s="93"/>
      <c r="S16" s="93"/>
      <c r="T16" s="93"/>
    </row>
    <row r="17" spans="2:20" ht="13.5">
      <c r="B17" s="928" t="s">
        <v>1016</v>
      </c>
      <c r="C17" s="16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93"/>
      <c r="P17" s="93"/>
      <c r="Q17" s="93"/>
      <c r="R17" s="93"/>
      <c r="S17" s="93"/>
      <c r="T17" s="93"/>
    </row>
    <row r="18" spans="2:19" ht="13.5">
      <c r="B18" s="768"/>
      <c r="C18" s="768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</row>
    <row r="19" spans="3:19" ht="13.5">
      <c r="C19" s="796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5"/>
    </row>
    <row r="20" spans="4:19" ht="13.5"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5"/>
    </row>
  </sheetData>
  <sheetProtection/>
  <mergeCells count="5">
    <mergeCell ref="B5:C6"/>
    <mergeCell ref="B12:C13"/>
    <mergeCell ref="D12:N12"/>
    <mergeCell ref="B14:B15"/>
    <mergeCell ref="B3:O3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45"/>
  <sheetViews>
    <sheetView showGridLines="0" zoomScale="70" zoomScaleNormal="70" zoomScalePageLayoutView="0" workbookViewId="0" topLeftCell="A22">
      <selection activeCell="E22" sqref="E22"/>
    </sheetView>
  </sheetViews>
  <sheetFormatPr defaultColWidth="9.140625" defaultRowHeight="15" customHeight="1"/>
  <cols>
    <col min="1" max="1" width="16.00390625" style="940" customWidth="1"/>
    <col min="2" max="2" width="16.8515625" style="940" customWidth="1"/>
    <col min="3" max="3" width="25.00390625" style="940" customWidth="1"/>
    <col min="4" max="4" width="74.00390625" style="940" customWidth="1"/>
    <col min="5" max="5" width="16.421875" style="940" customWidth="1"/>
    <col min="6" max="8" width="18.8515625" style="940" customWidth="1"/>
    <col min="9" max="9" width="17.00390625" style="940" customWidth="1"/>
    <col min="10" max="10" width="15.00390625" style="940" customWidth="1"/>
    <col min="11" max="11" width="9.140625" style="940" customWidth="1"/>
    <col min="12" max="12" width="12.00390625" style="940" customWidth="1"/>
    <col min="13" max="16384" width="9.140625" style="940" customWidth="1"/>
  </cols>
  <sheetData>
    <row r="1" spans="1:8" ht="24.75" customHeight="1">
      <c r="A1" s="1093" t="s">
        <v>1017</v>
      </c>
      <c r="B1" s="1094"/>
      <c r="C1" s="1094"/>
      <c r="D1" s="1094"/>
      <c r="E1" s="1094"/>
      <c r="F1" s="1094"/>
      <c r="G1" s="1094"/>
      <c r="H1" s="1094"/>
    </row>
    <row r="2" spans="1:8" ht="87.75" customHeight="1">
      <c r="A2" s="941" t="s">
        <v>1018</v>
      </c>
      <c r="B2" s="941" t="s">
        <v>1019</v>
      </c>
      <c r="C2" s="941" t="s">
        <v>903</v>
      </c>
      <c r="D2" s="941" t="s">
        <v>1020</v>
      </c>
      <c r="E2" s="942" t="s">
        <v>1021</v>
      </c>
      <c r="F2" s="943" t="s">
        <v>1022</v>
      </c>
      <c r="G2" s="943" t="s">
        <v>1023</v>
      </c>
      <c r="H2" s="943" t="s">
        <v>1024</v>
      </c>
    </row>
    <row r="3" spans="1:10" ht="21" customHeight="1">
      <c r="A3" s="944">
        <v>1</v>
      </c>
      <c r="B3" s="944" t="s">
        <v>1025</v>
      </c>
      <c r="C3" s="945" t="s">
        <v>910</v>
      </c>
      <c r="D3" s="945" t="s">
        <v>1026</v>
      </c>
      <c r="E3" s="946" t="s">
        <v>1027</v>
      </c>
      <c r="F3" s="947">
        <v>7432.05058</v>
      </c>
      <c r="G3" s="947">
        <v>7733.9362</v>
      </c>
      <c r="H3" s="948">
        <f>G3-F3</f>
        <v>301.88562</v>
      </c>
      <c r="I3" s="895"/>
      <c r="J3" s="895"/>
    </row>
    <row r="4" spans="1:10" ht="21" customHeight="1">
      <c r="A4" s="944">
        <v>1</v>
      </c>
      <c r="B4" s="944" t="s">
        <v>1025</v>
      </c>
      <c r="C4" s="945" t="s">
        <v>913</v>
      </c>
      <c r="D4" s="945" t="s">
        <v>1028</v>
      </c>
      <c r="E4" s="946">
        <v>31813861</v>
      </c>
      <c r="F4" s="947">
        <v>35351.989270000005</v>
      </c>
      <c r="G4" s="947">
        <v>38926.15482</v>
      </c>
      <c r="H4" s="948">
        <f aca="true" t="shared" si="0" ref="H4:H25">G4-F4</f>
        <v>3574.165549999998</v>
      </c>
      <c r="I4" s="895"/>
      <c r="J4" s="895"/>
    </row>
    <row r="5" spans="1:10" ht="21" customHeight="1">
      <c r="A5" s="944">
        <v>1</v>
      </c>
      <c r="B5" s="944" t="s">
        <v>1025</v>
      </c>
      <c r="C5" s="945" t="s">
        <v>913</v>
      </c>
      <c r="D5" s="945" t="s">
        <v>1029</v>
      </c>
      <c r="E5" s="949" t="s">
        <v>1030</v>
      </c>
      <c r="F5" s="947">
        <v>6944.7121799999995</v>
      </c>
      <c r="G5" s="947">
        <v>7335.94389</v>
      </c>
      <c r="H5" s="948">
        <f t="shared" si="0"/>
        <v>391.23171</v>
      </c>
      <c r="I5" s="895"/>
      <c r="J5" s="895"/>
    </row>
    <row r="6" spans="1:10" ht="21" customHeight="1">
      <c r="A6" s="944">
        <v>7</v>
      </c>
      <c r="B6" s="944" t="s">
        <v>1025</v>
      </c>
      <c r="C6" s="950" t="s">
        <v>913</v>
      </c>
      <c r="D6" s="945" t="s">
        <v>1031</v>
      </c>
      <c r="E6" s="946">
        <v>30853915</v>
      </c>
      <c r="F6" s="947">
        <v>502.93951</v>
      </c>
      <c r="G6" s="947">
        <v>600.7406500000001</v>
      </c>
      <c r="H6" s="948">
        <f t="shared" si="0"/>
        <v>97.80114000000009</v>
      </c>
      <c r="I6" s="895"/>
      <c r="J6" s="895"/>
    </row>
    <row r="7" spans="1:10" ht="21" customHeight="1">
      <c r="A7" s="944">
        <v>4</v>
      </c>
      <c r="B7" s="944" t="s">
        <v>1025</v>
      </c>
      <c r="C7" s="950" t="s">
        <v>917</v>
      </c>
      <c r="D7" s="945" t="s">
        <v>1032</v>
      </c>
      <c r="E7" s="946" t="s">
        <v>1033</v>
      </c>
      <c r="F7" s="947">
        <v>0</v>
      </c>
      <c r="G7" s="947">
        <v>0.048960000000000004</v>
      </c>
      <c r="H7" s="948">
        <f t="shared" si="0"/>
        <v>0.048960000000000004</v>
      </c>
      <c r="I7" s="895"/>
      <c r="J7" s="895"/>
    </row>
    <row r="8" spans="1:10" ht="21" customHeight="1">
      <c r="A8" s="944">
        <v>1</v>
      </c>
      <c r="B8" s="944" t="s">
        <v>1025</v>
      </c>
      <c r="C8" s="945" t="s">
        <v>914</v>
      </c>
      <c r="D8" s="945" t="s">
        <v>1034</v>
      </c>
      <c r="E8" s="949" t="s">
        <v>1035</v>
      </c>
      <c r="F8" s="947">
        <v>819.87672</v>
      </c>
      <c r="G8" s="947">
        <v>789.87672</v>
      </c>
      <c r="H8" s="948">
        <f t="shared" si="0"/>
        <v>-30</v>
      </c>
      <c r="I8" s="895"/>
      <c r="J8" s="895"/>
    </row>
    <row r="9" spans="1:10" ht="21" customHeight="1">
      <c r="A9" s="951">
        <v>11</v>
      </c>
      <c r="B9" s="944" t="s">
        <v>1036</v>
      </c>
      <c r="C9" s="945" t="s">
        <v>913</v>
      </c>
      <c r="D9" s="945" t="s">
        <v>1037</v>
      </c>
      <c r="E9" s="946">
        <v>36077739</v>
      </c>
      <c r="F9" s="947">
        <v>0.04457</v>
      </c>
      <c r="G9" s="947">
        <v>0</v>
      </c>
      <c r="H9" s="948">
        <f t="shared" si="0"/>
        <v>-0.04457</v>
      </c>
      <c r="I9" s="895"/>
      <c r="J9" s="895"/>
    </row>
    <row r="10" spans="1:10" ht="21" customHeight="1">
      <c r="A10" s="944">
        <v>8</v>
      </c>
      <c r="B10" s="944" t="s">
        <v>1036</v>
      </c>
      <c r="C10" s="945" t="s">
        <v>918</v>
      </c>
      <c r="D10" s="945" t="s">
        <v>1038</v>
      </c>
      <c r="E10" s="949">
        <v>17335469</v>
      </c>
      <c r="F10" s="947">
        <v>1047.4083</v>
      </c>
      <c r="G10" s="947">
        <v>1047.40049</v>
      </c>
      <c r="H10" s="948">
        <f t="shared" si="0"/>
        <v>-0.007810000000063155</v>
      </c>
      <c r="I10" s="895"/>
      <c r="J10" s="895"/>
    </row>
    <row r="11" spans="1:10" ht="21" customHeight="1">
      <c r="A11" s="944">
        <v>8</v>
      </c>
      <c r="B11" s="944" t="s">
        <v>1036</v>
      </c>
      <c r="C11" s="945" t="s">
        <v>922</v>
      </c>
      <c r="D11" s="945" t="s">
        <v>1039</v>
      </c>
      <c r="E11" s="949" t="s">
        <v>1040</v>
      </c>
      <c r="F11" s="947">
        <v>2228.8836800000004</v>
      </c>
      <c r="G11" s="947">
        <v>2228.8836800000004</v>
      </c>
      <c r="H11" s="948">
        <f t="shared" si="0"/>
        <v>0</v>
      </c>
      <c r="I11" s="895"/>
      <c r="J11" s="895"/>
    </row>
    <row r="12" spans="1:10" ht="21" customHeight="1">
      <c r="A12" s="944">
        <v>8</v>
      </c>
      <c r="B12" s="944" t="s">
        <v>1036</v>
      </c>
      <c r="C12" s="945" t="s">
        <v>916</v>
      </c>
      <c r="D12" s="945" t="s">
        <v>1041</v>
      </c>
      <c r="E12" s="949">
        <v>17335965</v>
      </c>
      <c r="F12" s="947">
        <v>419.47678</v>
      </c>
      <c r="G12" s="947">
        <v>347.47679</v>
      </c>
      <c r="H12" s="948">
        <f t="shared" si="0"/>
        <v>-71.99999000000003</v>
      </c>
      <c r="I12" s="895"/>
      <c r="J12" s="895"/>
    </row>
    <row r="13" spans="1:10" ht="21" customHeight="1">
      <c r="A13" s="944">
        <v>8</v>
      </c>
      <c r="B13" s="944" t="s">
        <v>1036</v>
      </c>
      <c r="C13" s="945" t="s">
        <v>916</v>
      </c>
      <c r="D13" s="945" t="s">
        <v>1042</v>
      </c>
      <c r="E13" s="949">
        <v>44455356</v>
      </c>
      <c r="F13" s="947">
        <v>1329.41462</v>
      </c>
      <c r="G13" s="947">
        <v>1454.06531</v>
      </c>
      <c r="H13" s="948">
        <f t="shared" si="0"/>
        <v>124.65068999999994</v>
      </c>
      <c r="I13" s="895"/>
      <c r="J13" s="895"/>
    </row>
    <row r="14" spans="1:10" ht="21" customHeight="1">
      <c r="A14" s="944">
        <v>8</v>
      </c>
      <c r="B14" s="944" t="s">
        <v>1036</v>
      </c>
      <c r="C14" s="945" t="s">
        <v>925</v>
      </c>
      <c r="D14" s="945" t="s">
        <v>1043</v>
      </c>
      <c r="E14" s="949" t="s">
        <v>1044</v>
      </c>
      <c r="F14" s="947">
        <v>122.29142999999999</v>
      </c>
      <c r="G14" s="947">
        <v>122.29142999999999</v>
      </c>
      <c r="H14" s="948">
        <f t="shared" si="0"/>
        <v>0</v>
      </c>
      <c r="I14" s="895"/>
      <c r="J14" s="895"/>
    </row>
    <row r="15" spans="1:10" ht="21" customHeight="1">
      <c r="A15" s="944">
        <v>8</v>
      </c>
      <c r="B15" s="944" t="s">
        <v>1036</v>
      </c>
      <c r="C15" s="945" t="s">
        <v>909</v>
      </c>
      <c r="D15" s="945" t="s">
        <v>1045</v>
      </c>
      <c r="E15" s="949">
        <v>17336163</v>
      </c>
      <c r="F15" s="947">
        <v>2884.0187400000004</v>
      </c>
      <c r="G15" s="947">
        <v>3046.83481</v>
      </c>
      <c r="H15" s="948">
        <f t="shared" si="0"/>
        <v>162.8160699999994</v>
      </c>
      <c r="I15" s="895"/>
      <c r="J15" s="895"/>
    </row>
    <row r="16" spans="1:10" ht="21" customHeight="1">
      <c r="A16" s="951">
        <v>10</v>
      </c>
      <c r="B16" s="944" t="s">
        <v>1036</v>
      </c>
      <c r="C16" s="950" t="s">
        <v>920</v>
      </c>
      <c r="D16" s="945" t="s">
        <v>1046</v>
      </c>
      <c r="E16" s="946">
        <v>17336015</v>
      </c>
      <c r="F16" s="947">
        <v>359.20795000000004</v>
      </c>
      <c r="G16" s="947">
        <v>359.20795000000004</v>
      </c>
      <c r="H16" s="948">
        <f t="shared" si="0"/>
        <v>0</v>
      </c>
      <c r="I16" s="895"/>
      <c r="J16" s="895"/>
    </row>
    <row r="17" spans="1:10" ht="21" customHeight="1">
      <c r="A17" s="944">
        <v>11</v>
      </c>
      <c r="B17" s="944" t="s">
        <v>1036</v>
      </c>
      <c r="C17" s="950" t="s">
        <v>923</v>
      </c>
      <c r="D17" s="945" t="s">
        <v>1047</v>
      </c>
      <c r="E17" s="949">
        <v>36167991</v>
      </c>
      <c r="F17" s="947">
        <v>91.18433999999999</v>
      </c>
      <c r="G17" s="947">
        <v>85.36482000000001</v>
      </c>
      <c r="H17" s="948">
        <f t="shared" si="0"/>
        <v>-5.819519999999983</v>
      </c>
      <c r="I17" s="895"/>
      <c r="J17" s="895"/>
    </row>
    <row r="18" spans="1:10" ht="21" customHeight="1">
      <c r="A18" s="944">
        <v>8</v>
      </c>
      <c r="B18" s="944" t="s">
        <v>1036</v>
      </c>
      <c r="C18" s="950" t="s">
        <v>915</v>
      </c>
      <c r="D18" s="945" t="s">
        <v>1048</v>
      </c>
      <c r="E18" s="949" t="s">
        <v>1049</v>
      </c>
      <c r="F18" s="947">
        <v>7731.17136</v>
      </c>
      <c r="G18" s="947">
        <v>8060.525320000001</v>
      </c>
      <c r="H18" s="948">
        <f t="shared" si="0"/>
        <v>329.35396000000037</v>
      </c>
      <c r="I18" s="895"/>
      <c r="J18" s="895"/>
    </row>
    <row r="19" spans="1:10" ht="21" customHeight="1">
      <c r="A19" s="951">
        <v>11</v>
      </c>
      <c r="B19" s="944" t="s">
        <v>1036</v>
      </c>
      <c r="C19" s="945" t="s">
        <v>915</v>
      </c>
      <c r="D19" s="945" t="s">
        <v>1050</v>
      </c>
      <c r="E19" s="946" t="s">
        <v>1051</v>
      </c>
      <c r="F19" s="947">
        <v>2200.7629100000004</v>
      </c>
      <c r="G19" s="947">
        <v>2301.7435499999997</v>
      </c>
      <c r="H19" s="948">
        <f t="shared" si="0"/>
        <v>100.98063999999931</v>
      </c>
      <c r="I19" s="895"/>
      <c r="J19" s="895"/>
    </row>
    <row r="20" spans="1:10" ht="21" customHeight="1">
      <c r="A20" s="951">
        <v>8</v>
      </c>
      <c r="B20" s="944" t="s">
        <v>1036</v>
      </c>
      <c r="C20" s="945" t="s">
        <v>911</v>
      </c>
      <c r="D20" s="945" t="s">
        <v>1052</v>
      </c>
      <c r="E20" s="949">
        <v>17335795</v>
      </c>
      <c r="F20" s="947">
        <v>6997.2895499999995</v>
      </c>
      <c r="G20" s="947">
        <v>7197.2895499999995</v>
      </c>
      <c r="H20" s="948">
        <f t="shared" si="0"/>
        <v>200</v>
      </c>
      <c r="I20" s="895"/>
      <c r="J20" s="895"/>
    </row>
    <row r="21" spans="1:10" ht="21" customHeight="1">
      <c r="A21" s="944">
        <v>12</v>
      </c>
      <c r="B21" s="944" t="s">
        <v>1036</v>
      </c>
      <c r="C21" s="950" t="s">
        <v>938</v>
      </c>
      <c r="D21" s="945" t="s">
        <v>1053</v>
      </c>
      <c r="E21" s="949">
        <v>37954032</v>
      </c>
      <c r="F21" s="947">
        <v>150.14183</v>
      </c>
      <c r="G21" s="947">
        <v>150.14183</v>
      </c>
      <c r="H21" s="948">
        <f t="shared" si="0"/>
        <v>0</v>
      </c>
      <c r="I21" s="895"/>
      <c r="J21" s="895"/>
    </row>
    <row r="22" spans="1:10" ht="21" customHeight="1">
      <c r="A22" s="944">
        <v>8</v>
      </c>
      <c r="B22" s="944" t="s">
        <v>1036</v>
      </c>
      <c r="C22" s="950" t="s">
        <v>924</v>
      </c>
      <c r="D22" s="945" t="s">
        <v>1054</v>
      </c>
      <c r="E22" s="946" t="s">
        <v>1055</v>
      </c>
      <c r="F22" s="947">
        <v>3290.5541200000002</v>
      </c>
      <c r="G22" s="947">
        <v>3432.82254</v>
      </c>
      <c r="H22" s="948">
        <f t="shared" si="0"/>
        <v>142.26841999999988</v>
      </c>
      <c r="I22" s="895"/>
      <c r="J22" s="895"/>
    </row>
    <row r="23" spans="1:10" s="952" customFormat="1" ht="21" customHeight="1">
      <c r="A23" s="944">
        <v>8</v>
      </c>
      <c r="B23" s="944" t="s">
        <v>1036</v>
      </c>
      <c r="C23" s="950" t="s">
        <v>924</v>
      </c>
      <c r="D23" s="945" t="s">
        <v>1056</v>
      </c>
      <c r="E23" s="946" t="s">
        <v>1057</v>
      </c>
      <c r="F23" s="947">
        <v>351.6405</v>
      </c>
      <c r="G23" s="947">
        <v>351.6405</v>
      </c>
      <c r="H23" s="948">
        <f t="shared" si="0"/>
        <v>0</v>
      </c>
      <c r="I23" s="895"/>
      <c r="J23" s="895"/>
    </row>
    <row r="24" spans="1:10" s="952" customFormat="1" ht="21" customHeight="1">
      <c r="A24" s="951">
        <v>11</v>
      </c>
      <c r="B24" s="944" t="s">
        <v>1036</v>
      </c>
      <c r="C24" s="945" t="s">
        <v>914</v>
      </c>
      <c r="D24" s="953" t="s">
        <v>1058</v>
      </c>
      <c r="E24" s="949">
        <v>36084221</v>
      </c>
      <c r="F24" s="947">
        <v>290.83259999999996</v>
      </c>
      <c r="G24" s="947">
        <v>387.95828</v>
      </c>
      <c r="H24" s="948">
        <f t="shared" si="0"/>
        <v>97.12568000000005</v>
      </c>
      <c r="I24" s="895"/>
      <c r="J24" s="895"/>
    </row>
    <row r="25" spans="1:10" s="952" customFormat="1" ht="21" customHeight="1">
      <c r="A25" s="944">
        <v>11</v>
      </c>
      <c r="B25" s="944" t="s">
        <v>1036</v>
      </c>
      <c r="C25" s="945" t="s">
        <v>912</v>
      </c>
      <c r="D25" s="945" t="s">
        <v>1059</v>
      </c>
      <c r="E25" s="946">
        <v>31908977</v>
      </c>
      <c r="F25" s="947">
        <v>304.7446</v>
      </c>
      <c r="G25" s="947">
        <v>368.05427000000003</v>
      </c>
      <c r="H25" s="948">
        <f t="shared" si="0"/>
        <v>63.30967000000004</v>
      </c>
      <c r="I25" s="940"/>
      <c r="J25" s="940"/>
    </row>
    <row r="26" spans="1:10" s="952" customFormat="1" ht="21" customHeight="1">
      <c r="A26" s="954" t="s">
        <v>4</v>
      </c>
      <c r="B26" s="954"/>
      <c r="C26" s="954"/>
      <c r="D26" s="954"/>
      <c r="E26" s="954"/>
      <c r="F26" s="955">
        <f>SUM(F3:F25)</f>
        <v>80850.63614</v>
      </c>
      <c r="G26" s="955">
        <f>SUM(G3:G25)</f>
        <v>86328.40236</v>
      </c>
      <c r="H26" s="955">
        <f>SUM(H3:H25)</f>
        <v>5477.766219999996</v>
      </c>
      <c r="I26" s="940"/>
      <c r="J26" s="940"/>
    </row>
    <row r="27" spans="1:10" s="952" customFormat="1" ht="18" customHeight="1">
      <c r="A27" s="956" t="s">
        <v>1060</v>
      </c>
      <c r="B27" s="957"/>
      <c r="C27" s="957"/>
      <c r="D27" s="957"/>
      <c r="E27" s="957"/>
      <c r="F27" s="958"/>
      <c r="G27" s="958"/>
      <c r="H27" s="958"/>
      <c r="I27" s="940"/>
      <c r="J27" s="940"/>
    </row>
    <row r="28" spans="1:8" s="917" customFormat="1" ht="15">
      <c r="A28" s="959" t="s">
        <v>1018</v>
      </c>
      <c r="B28" s="960"/>
      <c r="C28" s="960"/>
      <c r="D28" s="960"/>
      <c r="E28" s="960"/>
      <c r="F28" s="961"/>
      <c r="G28" s="961"/>
      <c r="H28" s="961"/>
    </row>
    <row r="29" spans="1:6" s="952" customFormat="1" ht="12.75" customHeight="1">
      <c r="A29" s="962">
        <v>1</v>
      </c>
      <c r="B29" s="1095" t="s">
        <v>1061</v>
      </c>
      <c r="C29" s="1095"/>
      <c r="D29" s="1095"/>
      <c r="F29" s="959"/>
    </row>
    <row r="30" spans="1:6" s="952" customFormat="1" ht="12.75" customHeight="1">
      <c r="A30" s="962">
        <v>2</v>
      </c>
      <c r="B30" s="1095" t="s">
        <v>1062</v>
      </c>
      <c r="C30" s="1095"/>
      <c r="D30" s="1095"/>
      <c r="F30" s="963"/>
    </row>
    <row r="31" spans="1:6" s="952" customFormat="1" ht="12.75" customHeight="1">
      <c r="A31" s="962">
        <v>3</v>
      </c>
      <c r="B31" s="1092" t="s">
        <v>1063</v>
      </c>
      <c r="C31" s="1092"/>
      <c r="D31" s="1092"/>
      <c r="F31" s="963"/>
    </row>
    <row r="32" spans="1:4" s="952" customFormat="1" ht="12.75" customHeight="1">
      <c r="A32" s="962">
        <v>4</v>
      </c>
      <c r="B32" s="1092" t="s">
        <v>1064</v>
      </c>
      <c r="C32" s="1092"/>
      <c r="D32" s="1092"/>
    </row>
    <row r="33" spans="1:4" s="952" customFormat="1" ht="12.75" customHeight="1">
      <c r="A33" s="962">
        <v>5</v>
      </c>
      <c r="B33" s="1092" t="s">
        <v>1065</v>
      </c>
      <c r="C33" s="1092"/>
      <c r="D33" s="1092"/>
    </row>
    <row r="34" spans="1:4" s="952" customFormat="1" ht="12.75" customHeight="1">
      <c r="A34" s="962">
        <v>6</v>
      </c>
      <c r="B34" s="1092" t="s">
        <v>1066</v>
      </c>
      <c r="C34" s="1092"/>
      <c r="D34" s="1092"/>
    </row>
    <row r="35" spans="1:5" s="952" customFormat="1" ht="12.75" customHeight="1">
      <c r="A35" s="962">
        <v>7</v>
      </c>
      <c r="B35" s="1092" t="s">
        <v>1067</v>
      </c>
      <c r="C35" s="1092"/>
      <c r="D35" s="1092"/>
      <c r="E35" s="964"/>
    </row>
    <row r="36" spans="1:5" s="952" customFormat="1" ht="12.75" customHeight="1">
      <c r="A36" s="962">
        <v>8</v>
      </c>
      <c r="B36" s="1092" t="s">
        <v>1068</v>
      </c>
      <c r="C36" s="1092"/>
      <c r="D36" s="1092"/>
      <c r="E36" s="964"/>
    </row>
    <row r="37" spans="1:6" s="952" customFormat="1" ht="12.75" customHeight="1">
      <c r="A37" s="962">
        <v>9</v>
      </c>
      <c r="B37" s="1092" t="s">
        <v>1069</v>
      </c>
      <c r="C37" s="1092"/>
      <c r="D37" s="1092"/>
      <c r="E37" s="965"/>
      <c r="F37" s="966"/>
    </row>
    <row r="38" spans="1:5" s="952" customFormat="1" ht="12.75" customHeight="1">
      <c r="A38" s="962">
        <v>10</v>
      </c>
      <c r="B38" s="1092" t="s">
        <v>1070</v>
      </c>
      <c r="C38" s="1092"/>
      <c r="D38" s="1092"/>
      <c r="E38" s="964"/>
    </row>
    <row r="39" spans="1:5" s="952" customFormat="1" ht="12.75" customHeight="1">
      <c r="A39" s="962">
        <v>11</v>
      </c>
      <c r="B39" s="1092" t="s">
        <v>1071</v>
      </c>
      <c r="C39" s="1092"/>
      <c r="D39" s="1092"/>
      <c r="E39" s="964"/>
    </row>
    <row r="40" spans="1:5" s="952" customFormat="1" ht="12.75" customHeight="1">
      <c r="A40" s="962">
        <v>12</v>
      </c>
      <c r="B40" s="1092" t="s">
        <v>1072</v>
      </c>
      <c r="C40" s="1092"/>
      <c r="D40" s="1092"/>
      <c r="E40" s="967"/>
    </row>
    <row r="41" spans="1:5" s="952" customFormat="1" ht="12.75" customHeight="1">
      <c r="A41" s="968">
        <v>13</v>
      </c>
      <c r="B41" s="1092" t="s">
        <v>1073</v>
      </c>
      <c r="C41" s="1092"/>
      <c r="D41" s="1092"/>
      <c r="E41" s="967"/>
    </row>
    <row r="42" s="952" customFormat="1" ht="9.75" customHeight="1">
      <c r="E42" s="967"/>
    </row>
    <row r="43" spans="1:5" s="952" customFormat="1" ht="15">
      <c r="A43" s="969" t="s">
        <v>1019</v>
      </c>
      <c r="B43" s="970"/>
      <c r="E43" s="967"/>
    </row>
    <row r="44" spans="1:5" s="952" customFormat="1" ht="12.75" customHeight="1">
      <c r="A44" s="962" t="s">
        <v>1025</v>
      </c>
      <c r="B44" s="1092" t="s">
        <v>1074</v>
      </c>
      <c r="C44" s="1092"/>
      <c r="D44" s="1092"/>
      <c r="E44" s="967"/>
    </row>
    <row r="45" spans="1:4" s="952" customFormat="1" ht="12.75" customHeight="1">
      <c r="A45" s="962" t="s">
        <v>1036</v>
      </c>
      <c r="B45" s="1092" t="s">
        <v>1075</v>
      </c>
      <c r="C45" s="1092"/>
      <c r="D45" s="1092"/>
    </row>
  </sheetData>
  <sheetProtection/>
  <mergeCells count="16">
    <mergeCell ref="B40:D40"/>
    <mergeCell ref="B41:D41"/>
    <mergeCell ref="B44:D44"/>
    <mergeCell ref="B45:D45"/>
    <mergeCell ref="B34:D34"/>
    <mergeCell ref="B35:D35"/>
    <mergeCell ref="B36:D36"/>
    <mergeCell ref="B37:D37"/>
    <mergeCell ref="B38:D38"/>
    <mergeCell ref="B39:D39"/>
    <mergeCell ref="B33:D33"/>
    <mergeCell ref="A1:H1"/>
    <mergeCell ref="B29:D29"/>
    <mergeCell ref="B30:D30"/>
    <mergeCell ref="B31:D31"/>
    <mergeCell ref="B32:D32"/>
  </mergeCells>
  <conditionalFormatting sqref="H28">
    <cfRule type="cellIs" priority="3" dxfId="0" operator="lessThan" stopIfTrue="1">
      <formula>0</formula>
    </cfRule>
  </conditionalFormatting>
  <conditionalFormatting sqref="H27">
    <cfRule type="cellIs" priority="2" dxfId="0" operator="lessThan" stopIfTrue="1">
      <formula>0</formula>
    </cfRule>
  </conditionalFormatting>
  <conditionalFormatting sqref="H3:H26">
    <cfRule type="cellIs" priority="1" dxfId="0" operator="lessThan" stopIfTrue="1">
      <formula>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T111"/>
  <sheetViews>
    <sheetView showGridLines="0" zoomScale="70" zoomScaleNormal="70" zoomScaleSheetLayoutView="75" zoomScalePageLayoutView="0" workbookViewId="0" topLeftCell="A61">
      <selection activeCell="E22" sqref="E22"/>
    </sheetView>
  </sheetViews>
  <sheetFormatPr defaultColWidth="9.140625" defaultRowHeight="12.75"/>
  <cols>
    <col min="1" max="1" width="17.28125" style="791" customWidth="1"/>
    <col min="2" max="2" width="6.421875" style="791" customWidth="1"/>
    <col min="3" max="3" width="7.7109375" style="791" customWidth="1"/>
    <col min="4" max="4" width="39.140625" style="791" customWidth="1"/>
    <col min="5" max="5" width="9.57421875" style="791" customWidth="1"/>
    <col min="6" max="6" width="14.28125" style="1059" customWidth="1"/>
    <col min="7" max="7" width="16.57421875" style="1059" customWidth="1"/>
    <col min="8" max="8" width="16.00390625" style="791" customWidth="1"/>
    <col min="9" max="9" width="12.140625" style="791" customWidth="1"/>
    <col min="10" max="10" width="14.140625" style="791" customWidth="1"/>
    <col min="11" max="11" width="14.421875" style="846" customWidth="1"/>
    <col min="12" max="12" width="16.140625" style="846" customWidth="1"/>
    <col min="13" max="13" width="13.28125" style="846" customWidth="1"/>
    <col min="14" max="14" width="16.8515625" style="846" customWidth="1"/>
    <col min="15" max="15" width="17.7109375" style="846" customWidth="1"/>
    <col min="16" max="16" width="9.8515625" style="792" customWidth="1"/>
    <col min="17" max="17" width="10.00390625" style="792" customWidth="1"/>
    <col min="18" max="18" width="17.28125" style="792" customWidth="1"/>
    <col min="19" max="19" width="16.57421875" style="792" customWidth="1"/>
    <col min="20" max="20" width="9.140625" style="792" customWidth="1"/>
    <col min="21" max="16384" width="9.140625" style="846" customWidth="1"/>
  </cols>
  <sheetData>
    <row r="1" spans="1:15" ht="25.5" customHeight="1">
      <c r="A1" s="1096" t="s">
        <v>1076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6"/>
      <c r="O1" s="1096"/>
    </row>
    <row r="2" spans="1:15" ht="15" customHeight="1">
      <c r="A2" s="1097" t="s">
        <v>903</v>
      </c>
      <c r="B2" s="1099" t="s">
        <v>1077</v>
      </c>
      <c r="C2" s="1099" t="s">
        <v>1078</v>
      </c>
      <c r="D2" s="1099" t="s">
        <v>1020</v>
      </c>
      <c r="E2" s="1099" t="s">
        <v>1021</v>
      </c>
      <c r="F2" s="1099" t="s">
        <v>1079</v>
      </c>
      <c r="G2" s="1101" t="s">
        <v>1080</v>
      </c>
      <c r="H2" s="1099" t="s">
        <v>1081</v>
      </c>
      <c r="I2" s="1099" t="s">
        <v>1082</v>
      </c>
      <c r="J2" s="1099" t="s">
        <v>1083</v>
      </c>
      <c r="K2" s="1105" t="s">
        <v>1084</v>
      </c>
      <c r="L2" s="1106"/>
      <c r="M2" s="1106"/>
      <c r="N2" s="1107"/>
      <c r="O2" s="1103" t="s">
        <v>1085</v>
      </c>
    </row>
    <row r="3" spans="1:15" ht="90" customHeight="1">
      <c r="A3" s="1098"/>
      <c r="B3" s="1100"/>
      <c r="C3" s="1100"/>
      <c r="D3" s="1100"/>
      <c r="E3" s="1100"/>
      <c r="F3" s="1100"/>
      <c r="G3" s="1102"/>
      <c r="H3" s="1100"/>
      <c r="I3" s="1100"/>
      <c r="J3" s="1100"/>
      <c r="K3" s="971" t="s">
        <v>1086</v>
      </c>
      <c r="L3" s="972" t="s">
        <v>1087</v>
      </c>
      <c r="M3" s="972" t="s">
        <v>1088</v>
      </c>
      <c r="N3" s="972" t="s">
        <v>1089</v>
      </c>
      <c r="O3" s="1104"/>
    </row>
    <row r="4" spans="1:20" s="854" customFormat="1" ht="26.25">
      <c r="A4" s="798" t="s">
        <v>910</v>
      </c>
      <c r="B4" s="799">
        <v>1</v>
      </c>
      <c r="C4" s="799" t="s">
        <v>1025</v>
      </c>
      <c r="D4" s="800" t="s">
        <v>1026</v>
      </c>
      <c r="E4" s="801" t="s">
        <v>1027</v>
      </c>
      <c r="F4" s="802" t="s">
        <v>1090</v>
      </c>
      <c r="G4" s="973">
        <v>7733.9362</v>
      </c>
      <c r="H4" s="974"/>
      <c r="I4" s="876"/>
      <c r="J4" s="975"/>
      <c r="K4" s="975">
        <v>0</v>
      </c>
      <c r="L4" s="975">
        <v>4343.560080993161</v>
      </c>
      <c r="M4" s="976">
        <v>39510</v>
      </c>
      <c r="N4" s="975">
        <v>996.548230764124</v>
      </c>
      <c r="O4" s="975">
        <v>2200</v>
      </c>
      <c r="P4" s="792"/>
      <c r="Q4" s="792"/>
      <c r="R4" s="792"/>
      <c r="S4" s="792"/>
      <c r="T4" s="792"/>
    </row>
    <row r="5" spans="1:20" s="854" customFormat="1" ht="26.25">
      <c r="A5" s="798" t="s">
        <v>940</v>
      </c>
      <c r="B5" s="799">
        <v>11</v>
      </c>
      <c r="C5" s="799" t="s">
        <v>1036</v>
      </c>
      <c r="D5" s="798" t="s">
        <v>1091</v>
      </c>
      <c r="E5" s="803">
        <v>36167908</v>
      </c>
      <c r="F5" s="802" t="s">
        <v>1092</v>
      </c>
      <c r="G5" s="973">
        <v>0</v>
      </c>
      <c r="H5" s="974"/>
      <c r="I5" s="876"/>
      <c r="J5" s="975"/>
      <c r="K5" s="975">
        <v>48.96221</v>
      </c>
      <c r="L5" s="975">
        <v>49.04725</v>
      </c>
      <c r="M5" s="976">
        <v>39967</v>
      </c>
      <c r="N5" s="975">
        <v>0</v>
      </c>
      <c r="O5" s="975">
        <v>0</v>
      </c>
      <c r="P5" s="792"/>
      <c r="Q5" s="792"/>
      <c r="R5" s="792"/>
      <c r="S5" s="792"/>
      <c r="T5" s="792"/>
    </row>
    <row r="6" spans="1:20" s="854" customFormat="1" ht="26.25">
      <c r="A6" s="798" t="s">
        <v>913</v>
      </c>
      <c r="B6" s="799">
        <v>1</v>
      </c>
      <c r="C6" s="799" t="s">
        <v>1025</v>
      </c>
      <c r="D6" s="798" t="s">
        <v>1029</v>
      </c>
      <c r="E6" s="801" t="s">
        <v>1030</v>
      </c>
      <c r="F6" s="802" t="s">
        <v>1090</v>
      </c>
      <c r="G6" s="973">
        <v>7335.94389</v>
      </c>
      <c r="H6" s="977"/>
      <c r="I6" s="978"/>
      <c r="J6" s="979"/>
      <c r="K6" s="975">
        <v>478.75642</v>
      </c>
      <c r="L6" s="975">
        <v>10363.452029999999</v>
      </c>
      <c r="M6" s="976">
        <v>39841</v>
      </c>
      <c r="N6" s="975">
        <v>8457.00588</v>
      </c>
      <c r="O6" s="975">
        <v>1500</v>
      </c>
      <c r="P6" s="792"/>
      <c r="Q6" s="792"/>
      <c r="R6" s="792"/>
      <c r="S6" s="792"/>
      <c r="T6" s="792"/>
    </row>
    <row r="7" spans="1:20" s="854" customFormat="1" ht="12.75">
      <c r="A7" s="798" t="s">
        <v>913</v>
      </c>
      <c r="B7" s="799">
        <v>1</v>
      </c>
      <c r="C7" s="799" t="s">
        <v>1025</v>
      </c>
      <c r="D7" s="798" t="s">
        <v>1028</v>
      </c>
      <c r="E7" s="803">
        <v>31813861</v>
      </c>
      <c r="F7" s="802" t="s">
        <v>1090</v>
      </c>
      <c r="G7" s="973">
        <v>38926.15482</v>
      </c>
      <c r="H7" s="977"/>
      <c r="I7" s="978"/>
      <c r="J7" s="979"/>
      <c r="K7" s="975">
        <v>0</v>
      </c>
      <c r="L7" s="975">
        <v>0</v>
      </c>
      <c r="M7" s="11"/>
      <c r="N7" s="975">
        <v>0</v>
      </c>
      <c r="O7" s="975">
        <v>4200</v>
      </c>
      <c r="P7" s="792"/>
      <c r="Q7" s="792"/>
      <c r="R7" s="792"/>
      <c r="S7" s="792"/>
      <c r="T7" s="792"/>
    </row>
    <row r="8" spans="1:20" s="854" customFormat="1" ht="12.75">
      <c r="A8" s="798" t="s">
        <v>913</v>
      </c>
      <c r="B8" s="799">
        <v>7</v>
      </c>
      <c r="C8" s="799" t="s">
        <v>1025</v>
      </c>
      <c r="D8" s="798" t="s">
        <v>1031</v>
      </c>
      <c r="E8" s="803">
        <v>30853915</v>
      </c>
      <c r="F8" s="802" t="s">
        <v>1090</v>
      </c>
      <c r="G8" s="973">
        <v>600.7406500000001</v>
      </c>
      <c r="H8" s="977"/>
      <c r="I8" s="978"/>
      <c r="J8" s="979"/>
      <c r="K8" s="975">
        <v>0</v>
      </c>
      <c r="L8" s="975">
        <v>0</v>
      </c>
      <c r="M8" s="805"/>
      <c r="N8" s="975">
        <v>0</v>
      </c>
      <c r="O8" s="975">
        <v>650.79101</v>
      </c>
      <c r="P8" s="792"/>
      <c r="Q8" s="792"/>
      <c r="R8" s="792"/>
      <c r="S8" s="792"/>
      <c r="T8" s="792"/>
    </row>
    <row r="9" spans="1:20" s="854" customFormat="1" ht="26.25">
      <c r="A9" s="798" t="s">
        <v>913</v>
      </c>
      <c r="B9" s="799">
        <v>11</v>
      </c>
      <c r="C9" s="799" t="s">
        <v>1036</v>
      </c>
      <c r="D9" s="798" t="s">
        <v>1037</v>
      </c>
      <c r="E9" s="803">
        <v>36077739</v>
      </c>
      <c r="F9" s="802" t="s">
        <v>1090</v>
      </c>
      <c r="G9" s="973">
        <v>0</v>
      </c>
      <c r="H9" s="977"/>
      <c r="I9" s="978"/>
      <c r="J9" s="979"/>
      <c r="K9" s="975">
        <v>0</v>
      </c>
      <c r="L9" s="975">
        <v>0</v>
      </c>
      <c r="M9" s="980">
        <v>40458</v>
      </c>
      <c r="N9" s="975">
        <v>0</v>
      </c>
      <c r="O9" s="975">
        <v>0</v>
      </c>
      <c r="P9" s="792"/>
      <c r="Q9" s="792"/>
      <c r="R9" s="792"/>
      <c r="S9" s="792"/>
      <c r="T9" s="792"/>
    </row>
    <row r="10" spans="1:20" s="854" customFormat="1" ht="12.75">
      <c r="A10" s="798" t="s">
        <v>918</v>
      </c>
      <c r="B10" s="799">
        <v>8</v>
      </c>
      <c r="C10" s="799" t="s">
        <v>1036</v>
      </c>
      <c r="D10" s="798" t="s">
        <v>1038</v>
      </c>
      <c r="E10" s="803">
        <v>17335469</v>
      </c>
      <c r="F10" s="802" t="s">
        <v>1090</v>
      </c>
      <c r="G10" s="973">
        <v>1047.40049</v>
      </c>
      <c r="H10" s="977"/>
      <c r="I10" s="981"/>
      <c r="J10" s="875"/>
      <c r="K10" s="975">
        <v>0</v>
      </c>
      <c r="L10" s="975">
        <v>0</v>
      </c>
      <c r="M10" s="980">
        <v>40476</v>
      </c>
      <c r="N10" s="975">
        <v>7.634600000000001</v>
      </c>
      <c r="O10" s="975">
        <v>0</v>
      </c>
      <c r="P10" s="792"/>
      <c r="Q10" s="792"/>
      <c r="R10" s="792"/>
      <c r="S10" s="792"/>
      <c r="T10" s="792"/>
    </row>
    <row r="11" spans="1:20" s="854" customFormat="1" ht="26.25">
      <c r="A11" s="11" t="s">
        <v>922</v>
      </c>
      <c r="B11" s="804">
        <v>8</v>
      </c>
      <c r="C11" s="804" t="s">
        <v>1036</v>
      </c>
      <c r="D11" s="798" t="s">
        <v>1039</v>
      </c>
      <c r="E11" s="801" t="s">
        <v>1040</v>
      </c>
      <c r="F11" s="802" t="s">
        <v>1092</v>
      </c>
      <c r="G11" s="973">
        <v>2228.8836800000004</v>
      </c>
      <c r="H11" s="977"/>
      <c r="I11" s="981"/>
      <c r="J11" s="875"/>
      <c r="K11" s="975">
        <v>6.72276</v>
      </c>
      <c r="L11" s="975">
        <v>6.72276</v>
      </c>
      <c r="M11" s="982">
        <v>40476</v>
      </c>
      <c r="N11" s="975">
        <v>0</v>
      </c>
      <c r="O11" s="975">
        <v>0</v>
      </c>
      <c r="P11" s="792"/>
      <c r="Q11" s="792"/>
      <c r="R11" s="792"/>
      <c r="S11" s="792"/>
      <c r="T11" s="792"/>
    </row>
    <row r="12" spans="1:20" s="854" customFormat="1" ht="12.75">
      <c r="A12" s="805" t="s">
        <v>922</v>
      </c>
      <c r="B12" s="806">
        <v>9</v>
      </c>
      <c r="C12" s="806" t="s">
        <v>1036</v>
      </c>
      <c r="D12" s="807" t="s">
        <v>1093</v>
      </c>
      <c r="E12" s="808" t="s">
        <v>1094</v>
      </c>
      <c r="F12" s="809" t="s">
        <v>1092</v>
      </c>
      <c r="G12" s="973">
        <v>0</v>
      </c>
      <c r="H12" s="983"/>
      <c r="I12" s="981"/>
      <c r="J12" s="875"/>
      <c r="K12" s="975">
        <v>1.1126500000000001</v>
      </c>
      <c r="L12" s="975">
        <v>1.1126500000000001</v>
      </c>
      <c r="M12" s="984"/>
      <c r="N12" s="975">
        <v>0</v>
      </c>
      <c r="O12" s="975">
        <v>0</v>
      </c>
      <c r="P12" s="792"/>
      <c r="Q12" s="792"/>
      <c r="R12" s="792"/>
      <c r="S12" s="792"/>
      <c r="T12" s="792"/>
    </row>
    <row r="13" spans="1:20" s="854" customFormat="1" ht="12.75">
      <c r="A13" s="810" t="s">
        <v>916</v>
      </c>
      <c r="B13" s="799">
        <v>8</v>
      </c>
      <c r="C13" s="799" t="s">
        <v>1036</v>
      </c>
      <c r="D13" s="811" t="s">
        <v>1041</v>
      </c>
      <c r="E13" s="803">
        <v>17335965</v>
      </c>
      <c r="F13" s="802" t="s">
        <v>1092</v>
      </c>
      <c r="G13" s="973">
        <v>347.47679</v>
      </c>
      <c r="H13" s="983"/>
      <c r="I13" s="981"/>
      <c r="J13" s="875"/>
      <c r="K13" s="975">
        <v>1107.72815</v>
      </c>
      <c r="L13" s="975">
        <v>0</v>
      </c>
      <c r="M13" s="985"/>
      <c r="N13" s="975">
        <v>0</v>
      </c>
      <c r="O13" s="975">
        <v>0</v>
      </c>
      <c r="P13" s="792"/>
      <c r="Q13" s="792"/>
      <c r="R13" s="792"/>
      <c r="S13" s="792"/>
      <c r="T13" s="792"/>
    </row>
    <row r="14" spans="1:20" s="854" customFormat="1" ht="26.25">
      <c r="A14" s="812" t="s">
        <v>916</v>
      </c>
      <c r="B14" s="813">
        <v>8</v>
      </c>
      <c r="C14" s="813" t="s">
        <v>1036</v>
      </c>
      <c r="D14" s="814" t="s">
        <v>1042</v>
      </c>
      <c r="E14" s="815">
        <v>44455356</v>
      </c>
      <c r="F14" s="813" t="s">
        <v>1090</v>
      </c>
      <c r="G14" s="973">
        <v>1454.06531</v>
      </c>
      <c r="H14" s="983"/>
      <c r="I14" s="986"/>
      <c r="J14" s="875"/>
      <c r="K14" s="975">
        <v>0</v>
      </c>
      <c r="L14" s="975">
        <v>0</v>
      </c>
      <c r="M14" s="812"/>
      <c r="N14" s="975">
        <v>0</v>
      </c>
      <c r="O14" s="975">
        <v>0</v>
      </c>
      <c r="P14" s="792"/>
      <c r="Q14" s="792"/>
      <c r="R14" s="792"/>
      <c r="S14" s="792"/>
      <c r="T14" s="792"/>
    </row>
    <row r="15" spans="1:20" s="854" customFormat="1" ht="12.75">
      <c r="A15" s="816" t="s">
        <v>925</v>
      </c>
      <c r="B15" s="817">
        <v>8</v>
      </c>
      <c r="C15" s="817" t="s">
        <v>1036</v>
      </c>
      <c r="D15" s="818" t="s">
        <v>1043</v>
      </c>
      <c r="E15" s="819" t="s">
        <v>1044</v>
      </c>
      <c r="F15" s="820" t="s">
        <v>1092</v>
      </c>
      <c r="G15" s="973">
        <v>122.29142999999999</v>
      </c>
      <c r="H15" s="983"/>
      <c r="I15" s="981"/>
      <c r="J15" s="875"/>
      <c r="K15" s="975">
        <v>0</v>
      </c>
      <c r="L15" s="975">
        <v>0</v>
      </c>
      <c r="M15" s="976">
        <v>39748</v>
      </c>
      <c r="N15" s="975">
        <v>0</v>
      </c>
      <c r="O15" s="975">
        <v>0</v>
      </c>
      <c r="P15" s="792"/>
      <c r="Q15" s="792"/>
      <c r="R15" s="792"/>
      <c r="S15" s="792"/>
      <c r="T15" s="792"/>
    </row>
    <row r="16" spans="1:20" s="854" customFormat="1" ht="12.75">
      <c r="A16" s="798" t="s">
        <v>929</v>
      </c>
      <c r="B16" s="804">
        <v>8</v>
      </c>
      <c r="C16" s="804" t="s">
        <v>1036</v>
      </c>
      <c r="D16" s="798" t="s">
        <v>1095</v>
      </c>
      <c r="E16" s="801" t="s">
        <v>1096</v>
      </c>
      <c r="F16" s="802" t="s">
        <v>1097</v>
      </c>
      <c r="G16" s="973">
        <v>0</v>
      </c>
      <c r="H16" s="987"/>
      <c r="I16" s="988"/>
      <c r="J16" s="989"/>
      <c r="K16" s="975">
        <v>92.57517999999999</v>
      </c>
      <c r="L16" s="975">
        <v>232.65982</v>
      </c>
      <c r="M16" s="990">
        <v>39903</v>
      </c>
      <c r="N16" s="975">
        <v>219.07986</v>
      </c>
      <c r="O16" s="975">
        <v>0</v>
      </c>
      <c r="P16" s="792"/>
      <c r="Q16" s="792"/>
      <c r="R16" s="792"/>
      <c r="S16" s="792"/>
      <c r="T16" s="792"/>
    </row>
    <row r="17" spans="1:20" s="854" customFormat="1" ht="12.75">
      <c r="A17" s="11" t="s">
        <v>931</v>
      </c>
      <c r="B17" s="804">
        <v>10</v>
      </c>
      <c r="C17" s="804" t="s">
        <v>1036</v>
      </c>
      <c r="D17" s="821" t="s">
        <v>1098</v>
      </c>
      <c r="E17" s="801" t="s">
        <v>1099</v>
      </c>
      <c r="F17" s="802" t="s">
        <v>1097</v>
      </c>
      <c r="G17" s="973">
        <v>0</v>
      </c>
      <c r="H17" s="987"/>
      <c r="I17" s="988"/>
      <c r="J17" s="989"/>
      <c r="K17" s="975">
        <v>3.46054</v>
      </c>
      <c r="L17" s="975">
        <v>2.97656</v>
      </c>
      <c r="M17" s="991">
        <v>39538</v>
      </c>
      <c r="N17" s="975">
        <v>9.535549999999999</v>
      </c>
      <c r="O17" s="975">
        <v>0</v>
      </c>
      <c r="P17" s="792"/>
      <c r="Q17" s="792"/>
      <c r="R17" s="792"/>
      <c r="S17" s="792"/>
      <c r="T17" s="792"/>
    </row>
    <row r="18" spans="1:20" s="995" customFormat="1" ht="12.75">
      <c r="A18" s="11" t="s">
        <v>919</v>
      </c>
      <c r="B18" s="799">
        <v>1</v>
      </c>
      <c r="C18" s="799" t="s">
        <v>1025</v>
      </c>
      <c r="D18" s="821" t="s">
        <v>1100</v>
      </c>
      <c r="E18" s="801" t="s">
        <v>1101</v>
      </c>
      <c r="F18" s="802" t="s">
        <v>1092</v>
      </c>
      <c r="G18" s="973">
        <v>0</v>
      </c>
      <c r="H18" s="992"/>
      <c r="I18" s="993"/>
      <c r="J18" s="994"/>
      <c r="K18" s="975">
        <v>216.92169</v>
      </c>
      <c r="L18" s="975">
        <v>216.92169</v>
      </c>
      <c r="M18" s="991">
        <v>40226</v>
      </c>
      <c r="N18" s="975">
        <v>413.98602</v>
      </c>
      <c r="O18" s="975">
        <v>0</v>
      </c>
      <c r="P18" s="792"/>
      <c r="Q18" s="792"/>
      <c r="R18" s="792"/>
      <c r="S18" s="792"/>
      <c r="T18" s="792"/>
    </row>
    <row r="19" spans="1:20" s="854" customFormat="1" ht="12.75">
      <c r="A19" s="11" t="s">
        <v>919</v>
      </c>
      <c r="B19" s="799">
        <v>7</v>
      </c>
      <c r="C19" s="799" t="s">
        <v>1025</v>
      </c>
      <c r="D19" s="821" t="s">
        <v>1102</v>
      </c>
      <c r="E19" s="801" t="s">
        <v>1103</v>
      </c>
      <c r="F19" s="802" t="s">
        <v>1092</v>
      </c>
      <c r="G19" s="973">
        <v>0</v>
      </c>
      <c r="H19" s="996"/>
      <c r="I19" s="876"/>
      <c r="J19" s="975"/>
      <c r="K19" s="975">
        <v>0.07958</v>
      </c>
      <c r="L19" s="975">
        <v>0.07958</v>
      </c>
      <c r="M19" s="976">
        <v>39643</v>
      </c>
      <c r="N19" s="975">
        <v>0</v>
      </c>
      <c r="O19" s="975">
        <v>0</v>
      </c>
      <c r="P19" s="792"/>
      <c r="Q19" s="792"/>
      <c r="R19" s="792"/>
      <c r="S19" s="792"/>
      <c r="T19" s="792"/>
    </row>
    <row r="20" spans="1:20" s="854" customFormat="1" ht="12.75">
      <c r="A20" s="11" t="s">
        <v>917</v>
      </c>
      <c r="B20" s="804">
        <v>10</v>
      </c>
      <c r="C20" s="804" t="s">
        <v>1036</v>
      </c>
      <c r="D20" s="821" t="s">
        <v>1104</v>
      </c>
      <c r="E20" s="801" t="s">
        <v>1105</v>
      </c>
      <c r="F20" s="802" t="s">
        <v>1097</v>
      </c>
      <c r="G20" s="973">
        <v>0</v>
      </c>
      <c r="H20" s="996"/>
      <c r="I20" s="876"/>
      <c r="J20" s="975"/>
      <c r="K20" s="975">
        <v>50.36262696673969</v>
      </c>
      <c r="L20" s="975">
        <v>109.20100577574189</v>
      </c>
      <c r="M20" s="976">
        <v>39722</v>
      </c>
      <c r="N20" s="975">
        <v>0.02907787293367855</v>
      </c>
      <c r="O20" s="975">
        <v>0</v>
      </c>
      <c r="P20" s="792"/>
      <c r="Q20" s="792"/>
      <c r="R20" s="792"/>
      <c r="S20" s="792"/>
      <c r="T20" s="792"/>
    </row>
    <row r="21" spans="1:20" s="854" customFormat="1" ht="26.25">
      <c r="A21" s="822" t="s">
        <v>917</v>
      </c>
      <c r="B21" s="804">
        <v>10</v>
      </c>
      <c r="C21" s="804" t="s">
        <v>1036</v>
      </c>
      <c r="D21" s="821" t="s">
        <v>1106</v>
      </c>
      <c r="E21" s="801" t="s">
        <v>1107</v>
      </c>
      <c r="F21" s="802" t="s">
        <v>1097</v>
      </c>
      <c r="G21" s="973">
        <v>0</v>
      </c>
      <c r="H21" s="996"/>
      <c r="I21" s="876"/>
      <c r="J21" s="975"/>
      <c r="K21" s="975">
        <v>0.07251211578038902</v>
      </c>
      <c r="L21" s="975">
        <v>0</v>
      </c>
      <c r="M21" s="976">
        <v>39722</v>
      </c>
      <c r="N21" s="975">
        <v>0.1360286795459072</v>
      </c>
      <c r="O21" s="975">
        <v>0</v>
      </c>
      <c r="P21" s="792"/>
      <c r="Q21" s="792"/>
      <c r="R21" s="792"/>
      <c r="S21" s="792"/>
      <c r="T21" s="792"/>
    </row>
    <row r="22" spans="1:20" s="854" customFormat="1" ht="12.75">
      <c r="A22" s="822" t="s">
        <v>917</v>
      </c>
      <c r="B22" s="804">
        <v>4</v>
      </c>
      <c r="C22" s="804" t="s">
        <v>1025</v>
      </c>
      <c r="D22" s="821" t="s">
        <v>1032</v>
      </c>
      <c r="E22" s="801" t="s">
        <v>1033</v>
      </c>
      <c r="F22" s="802" t="s">
        <v>1092</v>
      </c>
      <c r="G22" s="973">
        <v>0.048960000000000004</v>
      </c>
      <c r="H22" s="977"/>
      <c r="I22" s="983"/>
      <c r="J22" s="979"/>
      <c r="K22" s="975">
        <v>49.08824603332669</v>
      </c>
      <c r="L22" s="975">
        <v>49.08824603332669</v>
      </c>
      <c r="M22" s="997">
        <v>39673</v>
      </c>
      <c r="N22" s="975">
        <v>0.22239925645621722</v>
      </c>
      <c r="O22" s="975">
        <v>0</v>
      </c>
      <c r="P22" s="792"/>
      <c r="Q22" s="792"/>
      <c r="R22" s="792"/>
      <c r="S22" s="792"/>
      <c r="T22" s="792"/>
    </row>
    <row r="23" spans="1:20" s="854" customFormat="1" ht="26.25">
      <c r="A23" s="11" t="s">
        <v>909</v>
      </c>
      <c r="B23" s="799">
        <v>8</v>
      </c>
      <c r="C23" s="799" t="s">
        <v>1036</v>
      </c>
      <c r="D23" s="800" t="s">
        <v>1045</v>
      </c>
      <c r="E23" s="803">
        <v>17336163</v>
      </c>
      <c r="F23" s="802" t="s">
        <v>1090</v>
      </c>
      <c r="G23" s="973">
        <v>3046.83481</v>
      </c>
      <c r="H23" s="977"/>
      <c r="I23" s="983"/>
      <c r="J23" s="979"/>
      <c r="K23" s="975">
        <v>0</v>
      </c>
      <c r="L23" s="975">
        <v>151.06071</v>
      </c>
      <c r="M23" s="976">
        <v>40094</v>
      </c>
      <c r="N23" s="975">
        <v>0</v>
      </c>
      <c r="O23" s="975">
        <v>0</v>
      </c>
      <c r="P23" s="792"/>
      <c r="Q23" s="792"/>
      <c r="R23" s="792"/>
      <c r="S23" s="792"/>
      <c r="T23" s="792"/>
    </row>
    <row r="24" spans="1:20" s="995" customFormat="1" ht="26.25">
      <c r="A24" s="823" t="s">
        <v>934</v>
      </c>
      <c r="B24" s="824">
        <v>12</v>
      </c>
      <c r="C24" s="825" t="s">
        <v>1036</v>
      </c>
      <c r="D24" s="826" t="s">
        <v>1108</v>
      </c>
      <c r="E24" s="827">
        <v>35581778</v>
      </c>
      <c r="F24" s="828" t="s">
        <v>1097</v>
      </c>
      <c r="G24" s="973">
        <v>0</v>
      </c>
      <c r="H24" s="977"/>
      <c r="I24" s="983"/>
      <c r="J24" s="979"/>
      <c r="K24" s="975">
        <v>3.00734</v>
      </c>
      <c r="L24" s="975">
        <v>2.8410900000000003</v>
      </c>
      <c r="M24" s="976">
        <v>40078</v>
      </c>
      <c r="N24" s="975">
        <v>322.86203</v>
      </c>
      <c r="O24" s="975">
        <v>0</v>
      </c>
      <c r="P24" s="792"/>
      <c r="Q24" s="792"/>
      <c r="R24" s="792"/>
      <c r="S24" s="792"/>
      <c r="T24" s="792"/>
    </row>
    <row r="25" spans="1:20" s="1001" customFormat="1" ht="12.75">
      <c r="A25" s="823" t="s">
        <v>934</v>
      </c>
      <c r="B25" s="824">
        <v>11</v>
      </c>
      <c r="C25" s="825" t="s">
        <v>1036</v>
      </c>
      <c r="D25" s="826" t="s">
        <v>1109</v>
      </c>
      <c r="E25" s="827">
        <v>35581000</v>
      </c>
      <c r="F25" s="828" t="s">
        <v>1092</v>
      </c>
      <c r="G25" s="973">
        <v>0</v>
      </c>
      <c r="H25" s="998"/>
      <c r="I25" s="999"/>
      <c r="J25" s="1000"/>
      <c r="K25" s="975">
        <v>0.03168</v>
      </c>
      <c r="L25" s="975">
        <v>0.03168</v>
      </c>
      <c r="M25" s="991">
        <v>39846</v>
      </c>
      <c r="N25" s="975">
        <v>31.68025</v>
      </c>
      <c r="O25" s="975">
        <v>0</v>
      </c>
      <c r="P25" s="792"/>
      <c r="Q25" s="792"/>
      <c r="R25" s="792"/>
      <c r="S25" s="792"/>
      <c r="T25" s="792"/>
    </row>
    <row r="26" spans="1:20" s="854" customFormat="1" ht="12.75">
      <c r="A26" s="823" t="s">
        <v>920</v>
      </c>
      <c r="B26" s="824">
        <v>1</v>
      </c>
      <c r="C26" s="825" t="s">
        <v>1025</v>
      </c>
      <c r="D26" s="826" t="s">
        <v>1110</v>
      </c>
      <c r="E26" s="829">
        <v>17336007</v>
      </c>
      <c r="F26" s="828" t="s">
        <v>1092</v>
      </c>
      <c r="G26" s="973">
        <v>0</v>
      </c>
      <c r="H26" s="987"/>
      <c r="I26" s="988"/>
      <c r="J26" s="989"/>
      <c r="K26" s="975">
        <v>0.03166</v>
      </c>
      <c r="L26" s="975">
        <v>0.03166</v>
      </c>
      <c r="M26" s="982">
        <v>39780</v>
      </c>
      <c r="N26" s="975">
        <v>0</v>
      </c>
      <c r="O26" s="975">
        <v>0</v>
      </c>
      <c r="P26" s="792"/>
      <c r="Q26" s="792"/>
      <c r="R26" s="792"/>
      <c r="S26" s="792"/>
      <c r="T26" s="792"/>
    </row>
    <row r="27" spans="1:20" s="854" customFormat="1" ht="26.25">
      <c r="A27" s="830" t="s">
        <v>920</v>
      </c>
      <c r="B27" s="831">
        <v>10</v>
      </c>
      <c r="C27" s="831" t="s">
        <v>1036</v>
      </c>
      <c r="D27" s="832" t="s">
        <v>1046</v>
      </c>
      <c r="E27" s="833">
        <v>17336015</v>
      </c>
      <c r="F27" s="831" t="s">
        <v>1092</v>
      </c>
      <c r="G27" s="973">
        <v>359.20795000000004</v>
      </c>
      <c r="H27" s="987"/>
      <c r="I27" s="988"/>
      <c r="J27" s="989"/>
      <c r="K27" s="975">
        <v>0.02255</v>
      </c>
      <c r="L27" s="975">
        <v>0.02255</v>
      </c>
      <c r="M27" s="976">
        <v>39777</v>
      </c>
      <c r="N27" s="975">
        <v>0</v>
      </c>
      <c r="O27" s="975">
        <v>0</v>
      </c>
      <c r="P27" s="792"/>
      <c r="Q27" s="792"/>
      <c r="R27" s="792"/>
      <c r="S27" s="792"/>
      <c r="T27" s="792"/>
    </row>
    <row r="28" spans="1:20" s="995" customFormat="1" ht="12.75">
      <c r="A28" s="798" t="s">
        <v>935</v>
      </c>
      <c r="B28" s="799">
        <v>10</v>
      </c>
      <c r="C28" s="799" t="s">
        <v>1036</v>
      </c>
      <c r="D28" s="800" t="s">
        <v>1111</v>
      </c>
      <c r="E28" s="834">
        <v>35606347</v>
      </c>
      <c r="F28" s="799" t="s">
        <v>1092</v>
      </c>
      <c r="G28" s="973">
        <v>0</v>
      </c>
      <c r="H28" s="987"/>
      <c r="I28" s="988"/>
      <c r="J28" s="989"/>
      <c r="K28" s="975">
        <v>0.08187</v>
      </c>
      <c r="L28" s="975">
        <v>0.08187</v>
      </c>
      <c r="M28" s="976">
        <v>39777</v>
      </c>
      <c r="N28" s="975">
        <v>0</v>
      </c>
      <c r="O28" s="975">
        <v>0</v>
      </c>
      <c r="P28" s="792"/>
      <c r="Q28" s="792"/>
      <c r="R28" s="792"/>
      <c r="S28" s="792"/>
      <c r="T28" s="792"/>
    </row>
    <row r="29" spans="1:20" s="1003" customFormat="1" ht="12.75">
      <c r="A29" s="798" t="s">
        <v>935</v>
      </c>
      <c r="B29" s="799">
        <v>9</v>
      </c>
      <c r="C29" s="799" t="s">
        <v>1036</v>
      </c>
      <c r="D29" s="800" t="s">
        <v>1112</v>
      </c>
      <c r="E29" s="834">
        <v>17336139</v>
      </c>
      <c r="F29" s="799" t="s">
        <v>1092</v>
      </c>
      <c r="G29" s="973">
        <v>0</v>
      </c>
      <c r="H29" s="1002"/>
      <c r="I29" s="988"/>
      <c r="J29" s="989"/>
      <c r="K29" s="975">
        <v>0.22374000000000002</v>
      </c>
      <c r="L29" s="975">
        <v>0.22340000000000002</v>
      </c>
      <c r="M29" s="980">
        <v>40150</v>
      </c>
      <c r="N29" s="975">
        <v>0</v>
      </c>
      <c r="O29" s="975">
        <v>0</v>
      </c>
      <c r="P29" s="792"/>
      <c r="Q29" s="792"/>
      <c r="R29" s="792"/>
      <c r="S29" s="792"/>
      <c r="T29" s="792"/>
    </row>
    <row r="30" spans="1:20" s="1005" customFormat="1" ht="12.75">
      <c r="A30" s="807" t="s">
        <v>923</v>
      </c>
      <c r="B30" s="835">
        <v>11</v>
      </c>
      <c r="C30" s="835" t="s">
        <v>1036</v>
      </c>
      <c r="D30" s="836" t="s">
        <v>1047</v>
      </c>
      <c r="E30" s="837">
        <v>36167991</v>
      </c>
      <c r="F30" s="838" t="s">
        <v>1113</v>
      </c>
      <c r="G30" s="973">
        <v>85.36482000000001</v>
      </c>
      <c r="H30" s="987"/>
      <c r="I30" s="988"/>
      <c r="J30" s="989"/>
      <c r="K30" s="975">
        <v>0.00404</v>
      </c>
      <c r="L30" s="975">
        <v>0.00404</v>
      </c>
      <c r="M30" s="1004"/>
      <c r="N30" s="975">
        <v>0</v>
      </c>
      <c r="O30" s="975">
        <v>0</v>
      </c>
      <c r="P30" s="792"/>
      <c r="Q30" s="792"/>
      <c r="R30" s="792"/>
      <c r="S30" s="792"/>
      <c r="T30" s="792"/>
    </row>
    <row r="31" spans="1:20" s="1005" customFormat="1" ht="26.25">
      <c r="A31" s="11" t="s">
        <v>915</v>
      </c>
      <c r="B31" s="839">
        <v>8</v>
      </c>
      <c r="C31" s="799" t="s">
        <v>1036</v>
      </c>
      <c r="D31" s="811" t="s">
        <v>1048</v>
      </c>
      <c r="E31" s="801" t="s">
        <v>1049</v>
      </c>
      <c r="F31" s="802" t="s">
        <v>1090</v>
      </c>
      <c r="G31" s="973">
        <v>8060.525320000001</v>
      </c>
      <c r="H31" s="1006" t="s">
        <v>1114</v>
      </c>
      <c r="I31" s="1007">
        <v>40709</v>
      </c>
      <c r="J31" s="989">
        <v>953.44416</v>
      </c>
      <c r="K31" s="975">
        <v>0</v>
      </c>
      <c r="L31" s="975">
        <v>0</v>
      </c>
      <c r="M31" s="1008">
        <v>40886</v>
      </c>
      <c r="N31" s="975">
        <v>0</v>
      </c>
      <c r="O31" s="975">
        <v>0</v>
      </c>
      <c r="P31" s="792"/>
      <c r="Q31" s="792"/>
      <c r="R31" s="792"/>
      <c r="S31" s="792"/>
      <c r="T31" s="792"/>
    </row>
    <row r="32" spans="1:20" s="1005" customFormat="1" ht="12.75">
      <c r="A32" s="812" t="s">
        <v>915</v>
      </c>
      <c r="B32" s="813">
        <v>11</v>
      </c>
      <c r="C32" s="813" t="s">
        <v>1036</v>
      </c>
      <c r="D32" s="840" t="s">
        <v>1050</v>
      </c>
      <c r="E32" s="841" t="s">
        <v>1051</v>
      </c>
      <c r="F32" s="820" t="s">
        <v>1090</v>
      </c>
      <c r="G32" s="973">
        <v>2301.7435499999997</v>
      </c>
      <c r="H32" s="1009"/>
      <c r="I32" s="1010"/>
      <c r="J32" s="1011"/>
      <c r="K32" s="975">
        <v>47.86085</v>
      </c>
      <c r="L32" s="975">
        <v>47.86085</v>
      </c>
      <c r="M32" s="976">
        <v>40870</v>
      </c>
      <c r="N32" s="975">
        <v>0</v>
      </c>
      <c r="O32" s="975">
        <v>0</v>
      </c>
      <c r="P32" s="792"/>
      <c r="Q32" s="792"/>
      <c r="R32" s="792"/>
      <c r="S32" s="792"/>
      <c r="T32" s="792"/>
    </row>
    <row r="33" spans="1:20" s="854" customFormat="1" ht="26.25">
      <c r="A33" s="798" t="s">
        <v>911</v>
      </c>
      <c r="B33" s="804">
        <v>8</v>
      </c>
      <c r="C33" s="804" t="s">
        <v>1036</v>
      </c>
      <c r="D33" s="821" t="s">
        <v>1052</v>
      </c>
      <c r="E33" s="803">
        <v>17335795</v>
      </c>
      <c r="F33" s="802" t="s">
        <v>1090</v>
      </c>
      <c r="G33" s="973">
        <v>7197.2895499999995</v>
      </c>
      <c r="H33" s="874"/>
      <c r="I33" s="874"/>
      <c r="J33" s="874"/>
      <c r="K33" s="975">
        <v>2049.78755</v>
      </c>
      <c r="L33" s="975">
        <v>0</v>
      </c>
      <c r="M33" s="976">
        <v>39534</v>
      </c>
      <c r="N33" s="975">
        <v>0</v>
      </c>
      <c r="O33" s="975">
        <v>0</v>
      </c>
      <c r="P33" s="792"/>
      <c r="Q33" s="792"/>
      <c r="R33" s="792"/>
      <c r="S33" s="792"/>
      <c r="T33" s="792"/>
    </row>
    <row r="34" spans="1:20" s="854" customFormat="1" ht="12.75">
      <c r="A34" s="798" t="s">
        <v>942</v>
      </c>
      <c r="B34" s="799">
        <v>8</v>
      </c>
      <c r="C34" s="799" t="s">
        <v>1036</v>
      </c>
      <c r="D34" s="821" t="s">
        <v>1115</v>
      </c>
      <c r="E34" s="801" t="s">
        <v>1116</v>
      </c>
      <c r="F34" s="802" t="s">
        <v>1097</v>
      </c>
      <c r="G34" s="973">
        <v>0</v>
      </c>
      <c r="H34" s="874"/>
      <c r="I34" s="874"/>
      <c r="J34" s="874"/>
      <c r="K34" s="975">
        <v>25.41001</v>
      </c>
      <c r="L34" s="975">
        <v>104.27731</v>
      </c>
      <c r="M34" s="980">
        <v>40109</v>
      </c>
      <c r="N34" s="975">
        <v>201.66673</v>
      </c>
      <c r="O34" s="975">
        <v>0</v>
      </c>
      <c r="P34" s="792"/>
      <c r="Q34" s="792"/>
      <c r="R34" s="792"/>
      <c r="S34" s="792"/>
      <c r="T34" s="792"/>
    </row>
    <row r="35" spans="1:20" s="995" customFormat="1" ht="12.75">
      <c r="A35" s="807" t="s">
        <v>942</v>
      </c>
      <c r="B35" s="799">
        <v>10</v>
      </c>
      <c r="C35" s="799" t="s">
        <v>1036</v>
      </c>
      <c r="D35" s="800" t="s">
        <v>1117</v>
      </c>
      <c r="E35" s="801" t="s">
        <v>1118</v>
      </c>
      <c r="F35" s="799" t="s">
        <v>1097</v>
      </c>
      <c r="G35" s="973">
        <v>0</v>
      </c>
      <c r="H35" s="987"/>
      <c r="I35" s="1012"/>
      <c r="J35" s="875"/>
      <c r="K35" s="975">
        <v>0</v>
      </c>
      <c r="L35" s="975">
        <v>0.28141000000000005</v>
      </c>
      <c r="M35" s="976">
        <v>39562</v>
      </c>
      <c r="N35" s="975">
        <v>0</v>
      </c>
      <c r="O35" s="975">
        <v>0</v>
      </c>
      <c r="P35" s="792"/>
      <c r="Q35" s="792"/>
      <c r="R35" s="792"/>
      <c r="S35" s="792"/>
      <c r="T35" s="792"/>
    </row>
    <row r="36" spans="1:20" s="854" customFormat="1" ht="26.25">
      <c r="A36" s="798" t="s">
        <v>938</v>
      </c>
      <c r="B36" s="804">
        <v>8</v>
      </c>
      <c r="C36" s="804" t="s">
        <v>1036</v>
      </c>
      <c r="D36" s="800" t="s">
        <v>1119</v>
      </c>
      <c r="E36" s="803">
        <v>36597341</v>
      </c>
      <c r="F36" s="802" t="s">
        <v>1092</v>
      </c>
      <c r="G36" s="973">
        <v>0</v>
      </c>
      <c r="H36" s="1013"/>
      <c r="I36" s="1014"/>
      <c r="J36" s="1015"/>
      <c r="K36" s="975">
        <v>11.40123</v>
      </c>
      <c r="L36" s="975">
        <v>11.40123</v>
      </c>
      <c r="M36" s="976">
        <v>39552</v>
      </c>
      <c r="N36" s="975">
        <v>0</v>
      </c>
      <c r="O36" s="975">
        <v>0</v>
      </c>
      <c r="P36" s="792"/>
      <c r="Q36" s="792"/>
      <c r="R36" s="792"/>
      <c r="S36" s="792"/>
      <c r="T36" s="792"/>
    </row>
    <row r="37" spans="1:20" s="854" customFormat="1" ht="26.25">
      <c r="A37" s="11" t="s">
        <v>938</v>
      </c>
      <c r="B37" s="799">
        <v>5</v>
      </c>
      <c r="C37" s="799" t="s">
        <v>1025</v>
      </c>
      <c r="D37" s="800" t="s">
        <v>1120</v>
      </c>
      <c r="E37" s="834">
        <v>17335949</v>
      </c>
      <c r="F37" s="799" t="s">
        <v>1092</v>
      </c>
      <c r="G37" s="973">
        <v>0</v>
      </c>
      <c r="H37" s="1013"/>
      <c r="I37" s="1014"/>
      <c r="J37" s="1015"/>
      <c r="K37" s="975">
        <v>69.74311</v>
      </c>
      <c r="L37" s="975">
        <v>69.74311</v>
      </c>
      <c r="M37" s="976">
        <v>39583</v>
      </c>
      <c r="N37" s="975">
        <v>174.61481</v>
      </c>
      <c r="O37" s="975">
        <v>0</v>
      </c>
      <c r="P37" s="792"/>
      <c r="Q37" s="792"/>
      <c r="R37" s="792"/>
      <c r="S37" s="792"/>
      <c r="T37" s="792"/>
    </row>
    <row r="38" spans="1:20" s="995" customFormat="1" ht="12.75">
      <c r="A38" s="11" t="s">
        <v>938</v>
      </c>
      <c r="B38" s="799">
        <v>9</v>
      </c>
      <c r="C38" s="799" t="s">
        <v>1036</v>
      </c>
      <c r="D38" s="800" t="s">
        <v>1121</v>
      </c>
      <c r="E38" s="801" t="s">
        <v>1122</v>
      </c>
      <c r="F38" s="802" t="s">
        <v>1097</v>
      </c>
      <c r="G38" s="973">
        <v>0</v>
      </c>
      <c r="H38" s="996"/>
      <c r="I38" s="1016"/>
      <c r="J38" s="1017"/>
      <c r="K38" s="975">
        <v>3.90294</v>
      </c>
      <c r="L38" s="975">
        <v>3.90294</v>
      </c>
      <c r="M38" s="980">
        <v>39510</v>
      </c>
      <c r="N38" s="975">
        <v>0.0461</v>
      </c>
      <c r="O38" s="975">
        <v>0</v>
      </c>
      <c r="P38" s="792"/>
      <c r="Q38" s="792"/>
      <c r="R38" s="792"/>
      <c r="S38" s="792"/>
      <c r="T38" s="792"/>
    </row>
    <row r="39" spans="1:20" s="854" customFormat="1" ht="26.25">
      <c r="A39" s="11" t="s">
        <v>938</v>
      </c>
      <c r="B39" s="799">
        <v>11</v>
      </c>
      <c r="C39" s="799" t="s">
        <v>1036</v>
      </c>
      <c r="D39" s="800" t="s">
        <v>1123</v>
      </c>
      <c r="E39" s="801" t="s">
        <v>1124</v>
      </c>
      <c r="F39" s="802" t="s">
        <v>1092</v>
      </c>
      <c r="G39" s="973">
        <v>0</v>
      </c>
      <c r="H39" s="996"/>
      <c r="I39" s="1014"/>
      <c r="J39" s="1015"/>
      <c r="K39" s="975">
        <v>0</v>
      </c>
      <c r="L39" s="975">
        <v>5.63206</v>
      </c>
      <c r="M39" s="976">
        <v>39562</v>
      </c>
      <c r="N39" s="975">
        <v>0.11284999999999999</v>
      </c>
      <c r="O39" s="975">
        <v>0</v>
      </c>
      <c r="P39" s="792"/>
      <c r="Q39" s="792"/>
      <c r="R39" s="792"/>
      <c r="S39" s="792"/>
      <c r="T39" s="792"/>
    </row>
    <row r="40" spans="1:20" s="854" customFormat="1" ht="12.75">
      <c r="A40" s="11" t="s">
        <v>938</v>
      </c>
      <c r="B40" s="842">
        <v>12</v>
      </c>
      <c r="C40" s="842" t="s">
        <v>1036</v>
      </c>
      <c r="D40" s="843" t="s">
        <v>1053</v>
      </c>
      <c r="E40" s="801">
        <v>37954032</v>
      </c>
      <c r="F40" s="802" t="s">
        <v>1097</v>
      </c>
      <c r="G40" s="973">
        <v>150.14183</v>
      </c>
      <c r="H40" s="996"/>
      <c r="I40" s="876"/>
      <c r="J40" s="975"/>
      <c r="K40" s="975">
        <v>0.01304</v>
      </c>
      <c r="L40" s="975">
        <v>0.01304</v>
      </c>
      <c r="M40" s="1018"/>
      <c r="N40" s="975">
        <v>0</v>
      </c>
      <c r="O40" s="975">
        <v>0</v>
      </c>
      <c r="P40" s="792"/>
      <c r="Q40" s="792"/>
      <c r="R40" s="792"/>
      <c r="S40" s="792"/>
      <c r="T40" s="792"/>
    </row>
    <row r="41" spans="1:20" s="854" customFormat="1" ht="12.75">
      <c r="A41" s="798" t="s">
        <v>924</v>
      </c>
      <c r="B41" s="804">
        <v>8</v>
      </c>
      <c r="C41" s="804" t="s">
        <v>1036</v>
      </c>
      <c r="D41" s="798" t="s">
        <v>1056</v>
      </c>
      <c r="E41" s="801" t="s">
        <v>1057</v>
      </c>
      <c r="F41" s="802" t="s">
        <v>1092</v>
      </c>
      <c r="G41" s="973">
        <v>351.6405</v>
      </c>
      <c r="H41" s="996"/>
      <c r="I41" s="876"/>
      <c r="J41" s="975"/>
      <c r="K41" s="975">
        <v>0</v>
      </c>
      <c r="L41" s="975">
        <v>0</v>
      </c>
      <c r="M41" s="11"/>
      <c r="N41" s="975">
        <v>0</v>
      </c>
      <c r="O41" s="975">
        <v>0</v>
      </c>
      <c r="P41" s="792"/>
      <c r="Q41" s="792"/>
      <c r="R41" s="792"/>
      <c r="S41" s="792"/>
      <c r="T41" s="792"/>
    </row>
    <row r="42" spans="1:20" s="995" customFormat="1" ht="12.75">
      <c r="A42" s="798" t="s">
        <v>924</v>
      </c>
      <c r="B42" s="799">
        <v>8</v>
      </c>
      <c r="C42" s="804" t="s">
        <v>1036</v>
      </c>
      <c r="D42" s="798" t="s">
        <v>1054</v>
      </c>
      <c r="E42" s="801" t="s">
        <v>1055</v>
      </c>
      <c r="F42" s="802" t="s">
        <v>1090</v>
      </c>
      <c r="G42" s="973">
        <v>3432.82254</v>
      </c>
      <c r="H42" s="996"/>
      <c r="I42" s="876"/>
      <c r="J42" s="975"/>
      <c r="K42" s="975">
        <v>0</v>
      </c>
      <c r="L42" s="975">
        <v>0</v>
      </c>
      <c r="M42" s="990">
        <v>39700</v>
      </c>
      <c r="N42" s="975">
        <v>0</v>
      </c>
      <c r="O42" s="975">
        <v>0</v>
      </c>
      <c r="P42" s="792"/>
      <c r="Q42" s="792"/>
      <c r="R42" s="792"/>
      <c r="S42" s="792"/>
      <c r="T42" s="792"/>
    </row>
    <row r="43" spans="1:20" s="854" customFormat="1" ht="12.75">
      <c r="A43" s="812" t="s">
        <v>939</v>
      </c>
      <c r="B43" s="813">
        <v>8</v>
      </c>
      <c r="C43" s="813" t="s">
        <v>1036</v>
      </c>
      <c r="D43" s="840" t="s">
        <v>1125</v>
      </c>
      <c r="E43" s="844" t="s">
        <v>1126</v>
      </c>
      <c r="F43" s="813" t="s">
        <v>1097</v>
      </c>
      <c r="G43" s="973">
        <v>0</v>
      </c>
      <c r="H43" s="996"/>
      <c r="I43" s="876"/>
      <c r="J43" s="975"/>
      <c r="K43" s="975">
        <v>166.82998</v>
      </c>
      <c r="L43" s="975">
        <v>167.67281</v>
      </c>
      <c r="M43" s="976">
        <v>40168</v>
      </c>
      <c r="N43" s="975">
        <v>325.5945</v>
      </c>
      <c r="O43" s="975">
        <v>0</v>
      </c>
      <c r="P43" s="792"/>
      <c r="Q43" s="792"/>
      <c r="R43" s="792"/>
      <c r="S43" s="792"/>
      <c r="T43" s="792"/>
    </row>
    <row r="44" spans="1:20" s="854" customFormat="1" ht="26.25">
      <c r="A44" s="812" t="s">
        <v>921</v>
      </c>
      <c r="B44" s="813">
        <v>12</v>
      </c>
      <c r="C44" s="813" t="s">
        <v>1036</v>
      </c>
      <c r="D44" s="840" t="s">
        <v>1127</v>
      </c>
      <c r="E44" s="11">
        <v>37886851</v>
      </c>
      <c r="F44" s="813" t="s">
        <v>1092</v>
      </c>
      <c r="G44" s="973">
        <v>0</v>
      </c>
      <c r="H44" s="977"/>
      <c r="I44" s="1019"/>
      <c r="J44" s="1015"/>
      <c r="K44" s="975">
        <v>0.74702</v>
      </c>
      <c r="L44" s="975">
        <v>0.74702</v>
      </c>
      <c r="M44" s="976">
        <v>39563</v>
      </c>
      <c r="N44" s="975">
        <v>0</v>
      </c>
      <c r="O44" s="975">
        <v>0</v>
      </c>
      <c r="P44" s="792"/>
      <c r="Q44" s="792"/>
      <c r="R44" s="792"/>
      <c r="S44" s="792"/>
      <c r="T44" s="792"/>
    </row>
    <row r="45" spans="1:20" s="854" customFormat="1" ht="12.75">
      <c r="A45" s="798" t="s">
        <v>933</v>
      </c>
      <c r="B45" s="804">
        <v>8</v>
      </c>
      <c r="C45" s="804" t="s">
        <v>1036</v>
      </c>
      <c r="D45" s="800" t="s">
        <v>1128</v>
      </c>
      <c r="E45" s="834">
        <v>17335396</v>
      </c>
      <c r="F45" s="799" t="s">
        <v>1097</v>
      </c>
      <c r="G45" s="973">
        <v>0</v>
      </c>
      <c r="H45" s="977"/>
      <c r="I45" s="1019"/>
      <c r="J45" s="1015"/>
      <c r="K45" s="975">
        <v>0</v>
      </c>
      <c r="L45" s="975">
        <v>380.71489</v>
      </c>
      <c r="M45" s="976">
        <v>40190</v>
      </c>
      <c r="N45" s="975">
        <v>773.2869599999999</v>
      </c>
      <c r="O45" s="975">
        <v>0</v>
      </c>
      <c r="P45" s="792"/>
      <c r="Q45" s="792"/>
      <c r="R45" s="792"/>
      <c r="S45" s="792"/>
      <c r="T45" s="792"/>
    </row>
    <row r="46" spans="1:20" s="854" customFormat="1" ht="12.75">
      <c r="A46" s="11" t="s">
        <v>933</v>
      </c>
      <c r="B46" s="799">
        <v>8</v>
      </c>
      <c r="C46" s="799" t="s">
        <v>1036</v>
      </c>
      <c r="D46" s="810" t="s">
        <v>1129</v>
      </c>
      <c r="E46" s="11">
        <v>36597376</v>
      </c>
      <c r="F46" s="799" t="s">
        <v>1092</v>
      </c>
      <c r="G46" s="973">
        <v>0</v>
      </c>
      <c r="H46" s="987"/>
      <c r="I46" s="1020"/>
      <c r="J46" s="1021"/>
      <c r="K46" s="975">
        <v>0.14152</v>
      </c>
      <c r="L46" s="975">
        <v>0.14152</v>
      </c>
      <c r="M46" s="976"/>
      <c r="N46" s="975">
        <v>0.64344</v>
      </c>
      <c r="O46" s="975">
        <v>0</v>
      </c>
      <c r="P46" s="792"/>
      <c r="Q46" s="792"/>
      <c r="R46" s="792"/>
      <c r="S46" s="792"/>
      <c r="T46" s="792"/>
    </row>
    <row r="47" spans="1:20" s="854" customFormat="1" ht="12.75">
      <c r="A47" s="11" t="s">
        <v>927</v>
      </c>
      <c r="B47" s="799">
        <v>1</v>
      </c>
      <c r="C47" s="799" t="s">
        <v>1025</v>
      </c>
      <c r="D47" s="810" t="s">
        <v>1130</v>
      </c>
      <c r="E47" s="801" t="s">
        <v>1131</v>
      </c>
      <c r="F47" s="799" t="s">
        <v>1092</v>
      </c>
      <c r="G47" s="973">
        <v>0</v>
      </c>
      <c r="H47" s="1022"/>
      <c r="I47" s="1023"/>
      <c r="J47" s="979"/>
      <c r="K47" s="975">
        <v>0</v>
      </c>
      <c r="L47" s="975">
        <v>0</v>
      </c>
      <c r="M47" s="11"/>
      <c r="N47" s="975">
        <v>0</v>
      </c>
      <c r="O47" s="975">
        <v>0</v>
      </c>
      <c r="P47" s="792"/>
      <c r="Q47" s="792"/>
      <c r="R47" s="792"/>
      <c r="S47" s="792"/>
      <c r="T47" s="792"/>
    </row>
    <row r="48" spans="1:20" s="995" customFormat="1" ht="12.75">
      <c r="A48" s="11" t="s">
        <v>914</v>
      </c>
      <c r="B48" s="799">
        <v>1</v>
      </c>
      <c r="C48" s="799" t="s">
        <v>1025</v>
      </c>
      <c r="D48" s="800" t="s">
        <v>1034</v>
      </c>
      <c r="E48" s="801" t="s">
        <v>1035</v>
      </c>
      <c r="F48" s="799" t="s">
        <v>1092</v>
      </c>
      <c r="G48" s="973">
        <v>789.87672</v>
      </c>
      <c r="H48" s="996"/>
      <c r="I48" s="1014"/>
      <c r="J48" s="1015"/>
      <c r="K48" s="975">
        <v>0</v>
      </c>
      <c r="L48" s="975">
        <v>0</v>
      </c>
      <c r="M48" s="976">
        <v>40017</v>
      </c>
      <c r="N48" s="975">
        <v>0</v>
      </c>
      <c r="O48" s="975">
        <v>1849.2421299999999</v>
      </c>
      <c r="P48" s="792"/>
      <c r="Q48" s="792"/>
      <c r="R48" s="792"/>
      <c r="S48" s="792"/>
      <c r="T48" s="792"/>
    </row>
    <row r="49" spans="1:20" s="995" customFormat="1" ht="12.75">
      <c r="A49" s="11" t="s">
        <v>914</v>
      </c>
      <c r="B49" s="799">
        <v>11</v>
      </c>
      <c r="C49" s="799" t="s">
        <v>1036</v>
      </c>
      <c r="D49" s="800" t="s">
        <v>1058</v>
      </c>
      <c r="E49" s="834">
        <v>36084221</v>
      </c>
      <c r="F49" s="802" t="s">
        <v>1090</v>
      </c>
      <c r="G49" s="973">
        <v>387.95828</v>
      </c>
      <c r="H49" s="996"/>
      <c r="I49" s="1014"/>
      <c r="J49" s="1015"/>
      <c r="K49" s="975">
        <v>33.75279</v>
      </c>
      <c r="L49" s="975">
        <v>33.75279</v>
      </c>
      <c r="M49" s="976">
        <v>39898</v>
      </c>
      <c r="N49" s="975">
        <v>0</v>
      </c>
      <c r="O49" s="975">
        <v>0</v>
      </c>
      <c r="P49" s="792"/>
      <c r="Q49" s="792"/>
      <c r="R49" s="792"/>
      <c r="S49" s="792"/>
      <c r="T49" s="792"/>
    </row>
    <row r="50" spans="1:20" s="995" customFormat="1" ht="26.25">
      <c r="A50" s="11" t="s">
        <v>912</v>
      </c>
      <c r="B50" s="799">
        <v>11</v>
      </c>
      <c r="C50" s="799" t="s">
        <v>1036</v>
      </c>
      <c r="D50" s="800" t="s">
        <v>1059</v>
      </c>
      <c r="E50" s="11">
        <v>31908977</v>
      </c>
      <c r="F50" s="799" t="s">
        <v>1113</v>
      </c>
      <c r="G50" s="973">
        <v>368.05427000000003</v>
      </c>
      <c r="H50" s="996"/>
      <c r="I50" s="1014"/>
      <c r="J50" s="1015"/>
      <c r="K50" s="975">
        <v>1.61275</v>
      </c>
      <c r="L50" s="975">
        <v>1.61275</v>
      </c>
      <c r="M50" s="976">
        <v>39994</v>
      </c>
      <c r="N50" s="975">
        <v>55.07718</v>
      </c>
      <c r="O50" s="975">
        <v>0</v>
      </c>
      <c r="P50" s="792"/>
      <c r="Q50" s="792"/>
      <c r="R50" s="792"/>
      <c r="S50" s="792"/>
      <c r="T50" s="792"/>
    </row>
    <row r="51" spans="1:20" s="995" customFormat="1" ht="26.25">
      <c r="A51" s="822" t="s">
        <v>944</v>
      </c>
      <c r="B51" s="804">
        <v>12</v>
      </c>
      <c r="C51" s="804" t="s">
        <v>1036</v>
      </c>
      <c r="D51" s="800" t="s">
        <v>1132</v>
      </c>
      <c r="E51" s="803">
        <v>37887068</v>
      </c>
      <c r="F51" s="802" t="s">
        <v>1092</v>
      </c>
      <c r="G51" s="973">
        <v>0</v>
      </c>
      <c r="H51" s="1013"/>
      <c r="I51" s="1014"/>
      <c r="J51" s="1015"/>
      <c r="K51" s="975">
        <v>0.58627</v>
      </c>
      <c r="L51" s="975">
        <v>0.58627</v>
      </c>
      <c r="M51" s="980">
        <v>39744</v>
      </c>
      <c r="N51" s="975">
        <v>0</v>
      </c>
      <c r="O51" s="975">
        <v>0</v>
      </c>
      <c r="P51" s="792"/>
      <c r="Q51" s="792"/>
      <c r="R51" s="792"/>
      <c r="S51" s="792"/>
      <c r="T51" s="792"/>
    </row>
    <row r="52" spans="1:20" s="995" customFormat="1" ht="24.75" customHeight="1">
      <c r="A52" s="807" t="s">
        <v>937</v>
      </c>
      <c r="B52" s="806">
        <v>11</v>
      </c>
      <c r="C52" s="806" t="s">
        <v>1036</v>
      </c>
      <c r="D52" s="836" t="s">
        <v>1133</v>
      </c>
      <c r="E52" s="834">
        <v>37954954</v>
      </c>
      <c r="F52" s="799" t="s">
        <v>1097</v>
      </c>
      <c r="G52" s="973">
        <v>0</v>
      </c>
      <c r="H52" s="1013"/>
      <c r="I52" s="1014"/>
      <c r="J52" s="1015"/>
      <c r="K52" s="975">
        <v>2.02607</v>
      </c>
      <c r="L52" s="975">
        <v>5.8788</v>
      </c>
      <c r="M52" s="980"/>
      <c r="N52" s="975">
        <v>0</v>
      </c>
      <c r="O52" s="975">
        <v>0</v>
      </c>
      <c r="P52" s="792"/>
      <c r="Q52" s="792"/>
      <c r="R52" s="792"/>
      <c r="S52" s="792"/>
      <c r="T52" s="792"/>
    </row>
    <row r="53" spans="1:20" s="995" customFormat="1" ht="21" customHeight="1">
      <c r="A53" s="807" t="s">
        <v>937</v>
      </c>
      <c r="B53" s="806">
        <v>7</v>
      </c>
      <c r="C53" s="806" t="s">
        <v>1025</v>
      </c>
      <c r="D53" s="836" t="s">
        <v>1134</v>
      </c>
      <c r="E53" s="834">
        <v>17336082</v>
      </c>
      <c r="F53" s="799" t="s">
        <v>1092</v>
      </c>
      <c r="G53" s="973">
        <v>0</v>
      </c>
      <c r="H53" s="1013"/>
      <c r="I53" s="1014"/>
      <c r="J53" s="1015"/>
      <c r="K53" s="975">
        <v>0.11531</v>
      </c>
      <c r="L53" s="975">
        <v>0.11531</v>
      </c>
      <c r="M53" s="980">
        <v>40288</v>
      </c>
      <c r="N53" s="975">
        <v>3.5173</v>
      </c>
      <c r="O53" s="975">
        <v>0</v>
      </c>
      <c r="P53" s="792"/>
      <c r="Q53" s="792"/>
      <c r="R53" s="792"/>
      <c r="S53" s="792"/>
      <c r="T53" s="792"/>
    </row>
    <row r="54" spans="1:20" s="1036" customFormat="1" ht="26.25" customHeight="1">
      <c r="A54" s="1024" t="s">
        <v>4</v>
      </c>
      <c r="B54" s="1025"/>
      <c r="C54" s="1025"/>
      <c r="D54" s="1025"/>
      <c r="E54" s="1026"/>
      <c r="F54" s="1027"/>
      <c r="G54" s="1028">
        <f>SUM(G4:G53)</f>
        <v>86328.40236</v>
      </c>
      <c r="H54" s="1029"/>
      <c r="I54" s="1030"/>
      <c r="J54" s="1031">
        <f>SUM(J4:J53)</f>
        <v>953.44416</v>
      </c>
      <c r="K54" s="1032">
        <f>SUM(K4:K53)</f>
        <v>4473.1758851158465</v>
      </c>
      <c r="L54" s="1033">
        <f>SUM(L4:L53)</f>
        <v>16363.452782802224</v>
      </c>
      <c r="M54" s="1034"/>
      <c r="N54" s="1032">
        <f>SUM(N4:N53)</f>
        <v>11993.279796573057</v>
      </c>
      <c r="O54" s="1035">
        <f>SUM(O4:O53)</f>
        <v>10400.033140000001</v>
      </c>
      <c r="P54" s="792"/>
      <c r="Q54" s="792"/>
      <c r="R54" s="792"/>
      <c r="S54" s="792"/>
      <c r="T54" s="792"/>
    </row>
    <row r="55" spans="1:15" ht="15" customHeight="1">
      <c r="A55" s="845"/>
      <c r="B55" s="845"/>
      <c r="C55" s="846"/>
      <c r="D55" s="846"/>
      <c r="E55" s="846"/>
      <c r="F55" s="847"/>
      <c r="G55" s="848"/>
      <c r="H55" s="848"/>
      <c r="I55" s="848"/>
      <c r="J55" s="848"/>
      <c r="K55" s="848"/>
      <c r="L55" s="848"/>
      <c r="M55" s="848"/>
      <c r="N55" s="848"/>
      <c r="O55" s="848"/>
    </row>
    <row r="56" spans="1:10" ht="12.75" customHeight="1">
      <c r="A56" s="849" t="s">
        <v>1073</v>
      </c>
      <c r="B56" s="850"/>
      <c r="C56" s="850"/>
      <c r="D56" s="850"/>
      <c r="E56" s="851"/>
      <c r="F56" s="852"/>
      <c r="G56" s="846"/>
      <c r="H56" s="846"/>
      <c r="I56" s="846"/>
      <c r="J56" s="846"/>
    </row>
    <row r="57" spans="1:14" ht="15" customHeight="1">
      <c r="A57" s="850"/>
      <c r="B57" s="850"/>
      <c r="C57" s="850"/>
      <c r="D57" s="850"/>
      <c r="E57" s="851"/>
      <c r="F57" s="852"/>
      <c r="G57" s="852"/>
      <c r="H57" s="850"/>
      <c r="I57" s="850"/>
      <c r="J57" s="850"/>
      <c r="K57" s="853"/>
      <c r="L57" s="853"/>
      <c r="M57" s="854"/>
      <c r="N57" s="854"/>
    </row>
    <row r="58" spans="1:20" s="1036" customFormat="1" ht="15" customHeight="1">
      <c r="A58" s="1097" t="s">
        <v>903</v>
      </c>
      <c r="B58" s="1099" t="s">
        <v>1077</v>
      </c>
      <c r="C58" s="1099" t="s">
        <v>1078</v>
      </c>
      <c r="D58" s="1099" t="s">
        <v>1135</v>
      </c>
      <c r="E58" s="1099" t="s">
        <v>1021</v>
      </c>
      <c r="F58" s="1099" t="s">
        <v>1079</v>
      </c>
      <c r="G58" s="1101" t="s">
        <v>1080</v>
      </c>
      <c r="H58" s="1099" t="s">
        <v>1081</v>
      </c>
      <c r="I58" s="1099" t="s">
        <v>1082</v>
      </c>
      <c r="J58" s="1099" t="s">
        <v>1083</v>
      </c>
      <c r="K58" s="1105" t="s">
        <v>1084</v>
      </c>
      <c r="L58" s="1106"/>
      <c r="M58" s="1106"/>
      <c r="N58" s="1107"/>
      <c r="P58" s="792"/>
      <c r="Q58" s="792"/>
      <c r="R58" s="792"/>
      <c r="S58" s="792"/>
      <c r="T58" s="792"/>
    </row>
    <row r="59" spans="1:20" s="1036" customFormat="1" ht="99" customHeight="1">
      <c r="A59" s="1098"/>
      <c r="B59" s="1100"/>
      <c r="C59" s="1100"/>
      <c r="D59" s="1100"/>
      <c r="E59" s="1100"/>
      <c r="F59" s="1100"/>
      <c r="G59" s="1102"/>
      <c r="H59" s="1100"/>
      <c r="I59" s="1100"/>
      <c r="J59" s="1100"/>
      <c r="K59" s="971" t="s">
        <v>1086</v>
      </c>
      <c r="L59" s="972" t="s">
        <v>1087</v>
      </c>
      <c r="M59" s="972" t="s">
        <v>1088</v>
      </c>
      <c r="N59" s="972" t="s">
        <v>1089</v>
      </c>
      <c r="P59" s="792"/>
      <c r="Q59" s="792"/>
      <c r="R59" s="792"/>
      <c r="S59" s="792"/>
      <c r="T59" s="792"/>
    </row>
    <row r="60" spans="1:20" s="854" customFormat="1" ht="40.5" customHeight="1">
      <c r="A60" s="1037" t="s">
        <v>917</v>
      </c>
      <c r="B60" s="1038">
        <v>13</v>
      </c>
      <c r="C60" s="1038" t="s">
        <v>1036</v>
      </c>
      <c r="D60" s="1039" t="s">
        <v>1136</v>
      </c>
      <c r="E60" s="1040">
        <v>42041741</v>
      </c>
      <c r="F60" s="1041" t="s">
        <v>1097</v>
      </c>
      <c r="G60" s="875">
        <v>0</v>
      </c>
      <c r="H60" s="1042"/>
      <c r="I60" s="1042"/>
      <c r="J60" s="875"/>
      <c r="K60" s="989">
        <v>191.7822312952267</v>
      </c>
      <c r="L60" s="989">
        <v>191.7822312952267</v>
      </c>
      <c r="M60" s="976">
        <v>39722</v>
      </c>
      <c r="N60" s="989">
        <v>294.2369713868419</v>
      </c>
      <c r="O60" s="792"/>
      <c r="P60" s="792"/>
      <c r="Q60" s="792"/>
      <c r="R60" s="792"/>
      <c r="S60" s="792"/>
      <c r="T60" s="792"/>
    </row>
    <row r="61" spans="1:20" s="854" customFormat="1" ht="40.5" customHeight="1">
      <c r="A61" s="874" t="s">
        <v>934</v>
      </c>
      <c r="B61" s="1038">
        <v>13</v>
      </c>
      <c r="C61" s="1038" t="s">
        <v>1036</v>
      </c>
      <c r="D61" s="1039" t="s">
        <v>1137</v>
      </c>
      <c r="E61" s="1014">
        <v>42093937</v>
      </c>
      <c r="F61" s="1041" t="s">
        <v>1097</v>
      </c>
      <c r="G61" s="1015">
        <v>0</v>
      </c>
      <c r="H61" s="983"/>
      <c r="I61" s="983"/>
      <c r="J61" s="979"/>
      <c r="K61" s="989">
        <v>123.78976</v>
      </c>
      <c r="L61" s="989">
        <v>123.78976</v>
      </c>
      <c r="M61" s="976">
        <v>39589</v>
      </c>
      <c r="N61" s="989">
        <v>88.10095</v>
      </c>
      <c r="O61" s="792"/>
      <c r="P61" s="792"/>
      <c r="Q61" s="792"/>
      <c r="R61" s="792"/>
      <c r="S61" s="792"/>
      <c r="T61" s="792"/>
    </row>
    <row r="62" spans="1:20" s="854" customFormat="1" ht="54.75" customHeight="1">
      <c r="A62" s="1043" t="s">
        <v>938</v>
      </c>
      <c r="B62" s="1044">
        <v>13</v>
      </c>
      <c r="C62" s="1044" t="s">
        <v>1036</v>
      </c>
      <c r="D62" s="1045" t="s">
        <v>1138</v>
      </c>
      <c r="E62" s="1046">
        <v>42093937</v>
      </c>
      <c r="F62" s="1044" t="s">
        <v>1097</v>
      </c>
      <c r="G62" s="1017">
        <v>0</v>
      </c>
      <c r="H62" s="876"/>
      <c r="I62" s="1043"/>
      <c r="J62" s="975"/>
      <c r="K62" s="989">
        <v>311.04985</v>
      </c>
      <c r="L62" s="989">
        <v>311.04985</v>
      </c>
      <c r="M62" s="980">
        <v>39561</v>
      </c>
      <c r="N62" s="989">
        <v>677.24404</v>
      </c>
      <c r="O62" s="792"/>
      <c r="P62" s="792"/>
      <c r="Q62" s="792"/>
      <c r="R62" s="792"/>
      <c r="S62" s="792"/>
      <c r="T62" s="792"/>
    </row>
    <row r="63" spans="1:20" s="1036" customFormat="1" ht="13.5">
      <c r="A63" s="1047" t="s">
        <v>4</v>
      </c>
      <c r="B63" s="1048"/>
      <c r="C63" s="1048"/>
      <c r="D63" s="1048"/>
      <c r="E63" s="1048"/>
      <c r="F63" s="1049"/>
      <c r="G63" s="1028">
        <v>0</v>
      </c>
      <c r="H63" s="1050"/>
      <c r="I63" s="1051"/>
      <c r="J63" s="1052">
        <f>SUM(J60:J62)</f>
        <v>0</v>
      </c>
      <c r="K63" s="1053">
        <f>SUM(K60:K62)</f>
        <v>626.6218412952267</v>
      </c>
      <c r="L63" s="1054">
        <f>SUM(L60:L62)</f>
        <v>626.6218412952267</v>
      </c>
      <c r="M63" s="1054"/>
      <c r="N63" s="1053">
        <f>SUM(N60:N62)</f>
        <v>1059.581961386842</v>
      </c>
      <c r="O63" s="792"/>
      <c r="P63" s="792"/>
      <c r="Q63" s="792"/>
      <c r="R63" s="792"/>
      <c r="S63" s="792"/>
      <c r="T63" s="792"/>
    </row>
    <row r="64" spans="1:15" ht="12.75" customHeight="1">
      <c r="A64" s="846"/>
      <c r="B64" s="846"/>
      <c r="C64" s="846"/>
      <c r="D64" s="846"/>
      <c r="E64" s="846"/>
      <c r="F64" s="847"/>
      <c r="G64" s="847"/>
      <c r="J64" s="855"/>
      <c r="K64" s="855"/>
      <c r="L64" s="855"/>
      <c r="M64" s="855"/>
      <c r="N64" s="855"/>
      <c r="O64" s="855"/>
    </row>
    <row r="65" spans="1:14" ht="15">
      <c r="A65" s="1055" t="s">
        <v>1060</v>
      </c>
      <c r="B65" s="846"/>
      <c r="C65" s="846"/>
      <c r="D65" s="846"/>
      <c r="E65" s="846"/>
      <c r="F65" s="847"/>
      <c r="G65" s="847"/>
      <c r="K65" s="1056"/>
      <c r="L65" s="1056"/>
      <c r="M65" s="1056"/>
      <c r="N65" s="1056"/>
    </row>
    <row r="66" spans="1:12" ht="13.5">
      <c r="A66" s="1057" t="s">
        <v>1018</v>
      </c>
      <c r="B66" s="1057"/>
      <c r="C66" s="1057"/>
      <c r="D66" s="1058"/>
      <c r="L66" s="855"/>
    </row>
    <row r="67" spans="1:14" ht="15.75" customHeight="1">
      <c r="A67" s="857">
        <v>1</v>
      </c>
      <c r="B67" s="1060" t="s">
        <v>1061</v>
      </c>
      <c r="C67" s="1061"/>
      <c r="D67" s="1058"/>
      <c r="I67" s="857">
        <v>10</v>
      </c>
      <c r="J67" s="1060" t="s">
        <v>1070</v>
      </c>
      <c r="K67" s="855"/>
      <c r="L67" s="856"/>
      <c r="M67" s="856"/>
      <c r="N67" s="856"/>
    </row>
    <row r="68" spans="1:11" ht="15">
      <c r="A68" s="857">
        <v>2</v>
      </c>
      <c r="B68" s="1060" t="s">
        <v>1062</v>
      </c>
      <c r="C68" s="1061"/>
      <c r="D68" s="1058"/>
      <c r="I68" s="857">
        <v>11</v>
      </c>
      <c r="J68" s="1060" t="s">
        <v>1071</v>
      </c>
      <c r="K68" s="855"/>
    </row>
    <row r="69" spans="1:11" ht="15.75" customHeight="1">
      <c r="A69" s="857">
        <v>3</v>
      </c>
      <c r="B69" s="1060" t="s">
        <v>1063</v>
      </c>
      <c r="C69" s="1061"/>
      <c r="D69" s="1058"/>
      <c r="I69" s="857">
        <v>12</v>
      </c>
      <c r="J69" s="1060" t="s">
        <v>1072</v>
      </c>
      <c r="K69" s="855"/>
    </row>
    <row r="70" spans="1:11" ht="15">
      <c r="A70" s="857">
        <v>4</v>
      </c>
      <c r="B70" s="1060" t="s">
        <v>1064</v>
      </c>
      <c r="C70" s="1061"/>
      <c r="D70" s="1058"/>
      <c r="I70" s="857">
        <v>13</v>
      </c>
      <c r="J70" s="1060" t="s">
        <v>1073</v>
      </c>
      <c r="K70" s="855"/>
    </row>
    <row r="71" spans="1:12" ht="15.75" customHeight="1">
      <c r="A71" s="857">
        <v>5</v>
      </c>
      <c r="B71" s="1060" t="s">
        <v>1065</v>
      </c>
      <c r="C71" s="1061"/>
      <c r="D71" s="1058"/>
      <c r="I71" s="846"/>
      <c r="J71" s="846"/>
      <c r="K71" s="855"/>
      <c r="L71" s="855"/>
    </row>
    <row r="72" spans="1:12" ht="15">
      <c r="A72" s="857">
        <v>6</v>
      </c>
      <c r="B72" s="1060" t="s">
        <v>1066</v>
      </c>
      <c r="K72" s="855"/>
      <c r="L72" s="855"/>
    </row>
    <row r="73" spans="1:12" ht="15.75" customHeight="1">
      <c r="A73" s="857">
        <v>7</v>
      </c>
      <c r="B73" s="1060" t="s">
        <v>1067</v>
      </c>
      <c r="I73" s="1057" t="s">
        <v>1019</v>
      </c>
      <c r="J73" s="1057"/>
      <c r="K73" s="855"/>
      <c r="L73" s="855"/>
    </row>
    <row r="74" spans="1:12" ht="15">
      <c r="A74" s="857">
        <v>8</v>
      </c>
      <c r="B74" s="1060" t="s">
        <v>1068</v>
      </c>
      <c r="I74" s="857" t="s">
        <v>1025</v>
      </c>
      <c r="J74" s="1060" t="s">
        <v>1074</v>
      </c>
      <c r="K74" s="855"/>
      <c r="L74" s="855"/>
    </row>
    <row r="75" spans="1:12" ht="15.75" customHeight="1">
      <c r="A75" s="857">
        <v>9</v>
      </c>
      <c r="B75" s="1060" t="s">
        <v>1069</v>
      </c>
      <c r="I75" s="857" t="s">
        <v>1036</v>
      </c>
      <c r="J75" s="1060" t="s">
        <v>1075</v>
      </c>
      <c r="K75" s="855"/>
      <c r="L75" s="855"/>
    </row>
    <row r="76" spans="4:12" ht="12.75" customHeight="1">
      <c r="D76" s="846"/>
      <c r="E76" s="846"/>
      <c r="F76" s="847"/>
      <c r="G76" s="847"/>
      <c r="K76" s="855"/>
      <c r="L76" s="855"/>
    </row>
    <row r="77" spans="1:12" ht="15" customHeight="1">
      <c r="A77" s="846"/>
      <c r="B77" s="1062" t="s">
        <v>1092</v>
      </c>
      <c r="C77" s="1063" t="s">
        <v>1139</v>
      </c>
      <c r="D77" s="847"/>
      <c r="K77" s="855"/>
      <c r="L77" s="855"/>
    </row>
    <row r="78" spans="1:12" ht="13.5">
      <c r="A78" s="846"/>
      <c r="B78" s="1062" t="s">
        <v>1090</v>
      </c>
      <c r="C78" s="1063" t="s">
        <v>1140</v>
      </c>
      <c r="K78" s="855"/>
      <c r="L78" s="855"/>
    </row>
    <row r="79" spans="1:12" ht="15" customHeight="1">
      <c r="A79" s="846"/>
      <c r="B79" s="1062" t="s">
        <v>1113</v>
      </c>
      <c r="C79" s="1063" t="s">
        <v>1141</v>
      </c>
      <c r="K79" s="855"/>
      <c r="L79" s="855"/>
    </row>
    <row r="80" spans="1:12" ht="13.5">
      <c r="A80" s="846"/>
      <c r="B80" s="1062" t="s">
        <v>1097</v>
      </c>
      <c r="C80" s="1063" t="s">
        <v>1142</v>
      </c>
      <c r="H80" s="846"/>
      <c r="I80" s="846"/>
      <c r="J80" s="846"/>
      <c r="K80" s="855"/>
      <c r="L80" s="855"/>
    </row>
    <row r="81" spans="8:12" ht="15" customHeight="1">
      <c r="H81" s="1064"/>
      <c r="I81" s="1064"/>
      <c r="J81" s="846"/>
      <c r="K81" s="855"/>
      <c r="L81" s="855"/>
    </row>
    <row r="82" spans="8:12" ht="13.5">
      <c r="H82" s="1065"/>
      <c r="I82" s="1066"/>
      <c r="J82" s="846"/>
      <c r="K82" s="855"/>
      <c r="L82" s="855"/>
    </row>
    <row r="83" spans="8:12" ht="14.25" customHeight="1">
      <c r="H83" s="1067"/>
      <c r="I83" s="1067"/>
      <c r="J83" s="846"/>
      <c r="K83" s="855"/>
      <c r="L83" s="855"/>
    </row>
    <row r="84" spans="8:12" ht="12.75" customHeight="1">
      <c r="H84" s="1068"/>
      <c r="I84" s="1068"/>
      <c r="J84" s="846"/>
      <c r="K84" s="855"/>
      <c r="L84" s="855"/>
    </row>
    <row r="85" spans="8:12" ht="12.75" customHeight="1">
      <c r="H85" s="1069"/>
      <c r="I85" s="1069"/>
      <c r="J85" s="846"/>
      <c r="K85" s="855"/>
      <c r="L85" s="855"/>
    </row>
    <row r="86" spans="8:12" ht="12.75" customHeight="1">
      <c r="H86" s="1070"/>
      <c r="I86" s="1070"/>
      <c r="J86" s="846"/>
      <c r="K86" s="855"/>
      <c r="L86" s="855"/>
    </row>
    <row r="87" spans="8:12" ht="15" customHeight="1">
      <c r="H87" s="856"/>
      <c r="I87" s="856"/>
      <c r="J87" s="846"/>
      <c r="K87" s="855"/>
      <c r="L87" s="855"/>
    </row>
    <row r="88" spans="8:12" ht="12.75" customHeight="1">
      <c r="H88" s="846"/>
      <c r="I88" s="1056"/>
      <c r="J88" s="846"/>
      <c r="K88" s="855"/>
      <c r="L88" s="855"/>
    </row>
    <row r="89" spans="8:12" ht="12.75" customHeight="1">
      <c r="H89" s="1056"/>
      <c r="I89" s="1056"/>
      <c r="J89" s="846"/>
      <c r="K89" s="855"/>
      <c r="L89" s="855"/>
    </row>
    <row r="90" spans="8:12" ht="12.75" customHeight="1">
      <c r="H90" s="1056"/>
      <c r="I90" s="1056"/>
      <c r="J90" s="846"/>
      <c r="K90" s="855"/>
      <c r="L90" s="855"/>
    </row>
    <row r="91" spans="1:12" ht="12.75" customHeight="1">
      <c r="A91" s="846"/>
      <c r="B91" s="846"/>
      <c r="C91" s="846"/>
      <c r="D91" s="846"/>
      <c r="E91" s="846"/>
      <c r="F91" s="846"/>
      <c r="G91" s="846"/>
      <c r="H91" s="1071"/>
      <c r="I91" s="1071"/>
      <c r="J91" s="846"/>
      <c r="K91" s="855"/>
      <c r="L91" s="855"/>
    </row>
    <row r="92" spans="1:12" ht="12.75" customHeight="1">
      <c r="A92" s="846"/>
      <c r="B92" s="846"/>
      <c r="C92" s="846"/>
      <c r="D92" s="846"/>
      <c r="E92" s="846"/>
      <c r="F92" s="846"/>
      <c r="G92" s="846"/>
      <c r="H92" s="846"/>
      <c r="I92" s="846"/>
      <c r="J92" s="846"/>
      <c r="K92" s="855"/>
      <c r="L92" s="855"/>
    </row>
    <row r="93" spans="1:12" ht="12.75" customHeight="1">
      <c r="A93" s="846"/>
      <c r="B93" s="846"/>
      <c r="C93" s="846"/>
      <c r="D93" s="846"/>
      <c r="E93" s="846"/>
      <c r="F93" s="846"/>
      <c r="G93" s="846"/>
      <c r="H93" s="846"/>
      <c r="I93" s="846"/>
      <c r="J93" s="846"/>
      <c r="K93" s="855"/>
      <c r="L93" s="855"/>
    </row>
    <row r="94" spans="1:12" ht="12.75" customHeight="1">
      <c r="A94" s="846"/>
      <c r="B94" s="846"/>
      <c r="C94" s="846"/>
      <c r="D94" s="846"/>
      <c r="E94" s="846"/>
      <c r="F94" s="846"/>
      <c r="G94" s="846"/>
      <c r="K94" s="855"/>
      <c r="L94" s="855"/>
    </row>
    <row r="95" spans="1:12" ht="12.75" customHeight="1">
      <c r="A95" s="846"/>
      <c r="B95" s="846"/>
      <c r="C95" s="846"/>
      <c r="D95" s="846"/>
      <c r="E95" s="846"/>
      <c r="F95" s="846"/>
      <c r="G95" s="846"/>
      <c r="K95" s="855"/>
      <c r="L95" s="855"/>
    </row>
    <row r="96" spans="1:12" ht="12.75" customHeight="1">
      <c r="A96" s="846"/>
      <c r="B96" s="846"/>
      <c r="C96" s="846"/>
      <c r="D96" s="846"/>
      <c r="E96" s="846"/>
      <c r="F96" s="846"/>
      <c r="G96" s="846"/>
      <c r="K96" s="855"/>
      <c r="L96" s="855"/>
    </row>
    <row r="97" spans="1:12" ht="12.75" customHeight="1">
      <c r="A97" s="846"/>
      <c r="B97" s="846"/>
      <c r="C97" s="846"/>
      <c r="D97" s="846"/>
      <c r="E97" s="846"/>
      <c r="F97" s="846"/>
      <c r="G97" s="846"/>
      <c r="K97" s="855"/>
      <c r="L97" s="855"/>
    </row>
    <row r="98" spans="1:12" ht="12.75" customHeight="1">
      <c r="A98" s="846"/>
      <c r="B98" s="846"/>
      <c r="C98" s="846"/>
      <c r="D98" s="846"/>
      <c r="E98" s="846"/>
      <c r="F98" s="846"/>
      <c r="G98" s="846"/>
      <c r="K98" s="855"/>
      <c r="L98" s="855"/>
    </row>
    <row r="99" spans="1:12" ht="12.75" customHeight="1">
      <c r="A99" s="846"/>
      <c r="B99" s="846"/>
      <c r="C99" s="846"/>
      <c r="D99" s="846"/>
      <c r="E99" s="846"/>
      <c r="F99" s="846"/>
      <c r="G99" s="846"/>
      <c r="K99" s="855"/>
      <c r="L99" s="855"/>
    </row>
    <row r="100" spans="1:12" ht="12.75" customHeight="1">
      <c r="A100" s="846"/>
      <c r="B100" s="846"/>
      <c r="C100" s="846"/>
      <c r="D100" s="846"/>
      <c r="E100" s="846"/>
      <c r="F100" s="846"/>
      <c r="G100" s="846"/>
      <c r="K100" s="855"/>
      <c r="L100" s="855"/>
    </row>
    <row r="101" spans="1:12" ht="12.75" customHeight="1">
      <c r="A101" s="846"/>
      <c r="B101" s="846"/>
      <c r="C101" s="846"/>
      <c r="D101" s="846"/>
      <c r="E101" s="846"/>
      <c r="F101" s="846"/>
      <c r="G101" s="846"/>
      <c r="K101" s="855"/>
      <c r="L101" s="855"/>
    </row>
    <row r="102" spans="1:12" ht="12.75" customHeight="1">
      <c r="A102" s="846"/>
      <c r="B102" s="846"/>
      <c r="C102" s="846"/>
      <c r="D102" s="846"/>
      <c r="E102" s="846"/>
      <c r="F102" s="846"/>
      <c r="G102" s="846"/>
      <c r="K102" s="855"/>
      <c r="L102" s="855"/>
    </row>
    <row r="103" spans="1:12" ht="12.75" customHeight="1">
      <c r="A103" s="846"/>
      <c r="B103" s="846"/>
      <c r="C103" s="846"/>
      <c r="D103" s="846"/>
      <c r="E103" s="846"/>
      <c r="F103" s="846"/>
      <c r="G103" s="846"/>
      <c r="K103" s="855"/>
      <c r="L103" s="855"/>
    </row>
    <row r="104" spans="1:12" ht="12.75" customHeight="1">
      <c r="A104" s="846"/>
      <c r="B104" s="846"/>
      <c r="C104" s="846"/>
      <c r="D104" s="846"/>
      <c r="E104" s="846"/>
      <c r="F104" s="846"/>
      <c r="G104" s="846"/>
      <c r="K104" s="855"/>
      <c r="L104" s="855"/>
    </row>
    <row r="105" spans="1:12" ht="12.75" customHeight="1">
      <c r="A105" s="846"/>
      <c r="B105" s="846"/>
      <c r="C105" s="846"/>
      <c r="D105" s="846"/>
      <c r="E105" s="846"/>
      <c r="F105" s="846"/>
      <c r="G105" s="846"/>
      <c r="K105" s="855"/>
      <c r="L105" s="855"/>
    </row>
    <row r="106" spans="1:12" ht="12.75" customHeight="1">
      <c r="A106" s="846"/>
      <c r="B106" s="846"/>
      <c r="C106" s="846"/>
      <c r="D106" s="846"/>
      <c r="E106" s="846"/>
      <c r="F106" s="846"/>
      <c r="G106" s="846"/>
      <c r="K106" s="855"/>
      <c r="L106" s="855"/>
    </row>
    <row r="107" spans="1:12" ht="12.75" customHeight="1">
      <c r="A107" s="846"/>
      <c r="B107" s="846"/>
      <c r="C107" s="846"/>
      <c r="D107" s="846"/>
      <c r="E107" s="846"/>
      <c r="F107" s="846"/>
      <c r="G107" s="846"/>
      <c r="K107" s="855"/>
      <c r="L107" s="855"/>
    </row>
    <row r="108" spans="1:12" ht="12.75" customHeight="1">
      <c r="A108" s="846"/>
      <c r="B108" s="846"/>
      <c r="C108" s="846"/>
      <c r="D108" s="846"/>
      <c r="E108" s="846"/>
      <c r="F108" s="846"/>
      <c r="G108" s="846"/>
      <c r="K108" s="855"/>
      <c r="L108" s="855"/>
    </row>
    <row r="109" spans="1:12" ht="12.75" customHeight="1">
      <c r="A109" s="846"/>
      <c r="B109" s="846"/>
      <c r="C109" s="846"/>
      <c r="D109" s="846"/>
      <c r="E109" s="846"/>
      <c r="F109" s="846"/>
      <c r="G109" s="846"/>
      <c r="K109" s="855"/>
      <c r="L109" s="855"/>
    </row>
    <row r="110" spans="1:12" ht="12.75" customHeight="1">
      <c r="A110" s="846"/>
      <c r="B110" s="846"/>
      <c r="C110" s="846"/>
      <c r="D110" s="846"/>
      <c r="E110" s="846"/>
      <c r="F110" s="846"/>
      <c r="G110" s="846"/>
      <c r="K110" s="855"/>
      <c r="L110" s="855"/>
    </row>
    <row r="111" spans="1:12" ht="12.75" customHeight="1">
      <c r="A111" s="846"/>
      <c r="B111" s="846"/>
      <c r="C111" s="846"/>
      <c r="D111" s="846"/>
      <c r="E111" s="846"/>
      <c r="F111" s="846"/>
      <c r="G111" s="846"/>
      <c r="K111" s="855"/>
      <c r="L111" s="855"/>
    </row>
  </sheetData>
  <sheetProtection/>
  <mergeCells count="24">
    <mergeCell ref="K58:N58"/>
    <mergeCell ref="J2:J3"/>
    <mergeCell ref="K2:N2"/>
    <mergeCell ref="F58:F59"/>
    <mergeCell ref="G58:G59"/>
    <mergeCell ref="H58:H59"/>
    <mergeCell ref="I58:I59"/>
    <mergeCell ref="J58:J59"/>
    <mergeCell ref="A58:A59"/>
    <mergeCell ref="B58:B59"/>
    <mergeCell ref="C58:C59"/>
    <mergeCell ref="D58:D59"/>
    <mergeCell ref="E58:E59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</mergeCells>
  <printOptions/>
  <pageMargins left="0" right="0" top="0.7874015748031497" bottom="0.5905511811023623" header="0.1968503937007874" footer="0.1968503937007874"/>
  <pageSetup fitToHeight="1" fitToWidth="1" horizontalDpi="600" verticalDpi="600" orientation="portrait" paperSize="9" scale="4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selection activeCell="D7" sqref="D7"/>
    </sheetView>
  </sheetViews>
  <sheetFormatPr defaultColWidth="3.421875" defaultRowHeight="15" customHeight="1"/>
  <cols>
    <col min="1" max="1" width="45.8515625" style="26" customWidth="1"/>
    <col min="2" max="4" width="16.7109375" style="26" customWidth="1"/>
    <col min="5" max="6" width="13.8515625" style="26" customWidth="1"/>
    <col min="7" max="8" width="10.00390625" style="26" customWidth="1"/>
    <col min="9" max="11" width="3.421875" style="26" customWidth="1"/>
    <col min="12" max="12" width="12.421875" style="26" customWidth="1"/>
    <col min="13" max="16384" width="3.421875" style="26" customWidth="1"/>
  </cols>
  <sheetData>
    <row r="1" ht="15" customHeight="1">
      <c r="H1" s="27"/>
    </row>
    <row r="3" spans="3:9" ht="15" customHeight="1">
      <c r="C3" s="28"/>
      <c r="D3" s="28"/>
      <c r="I3" s="28"/>
    </row>
    <row r="4" s="29" customFormat="1" ht="15" customHeight="1">
      <c r="H4" s="30"/>
    </row>
    <row r="5" spans="3:11" s="29" customFormat="1" ht="15" customHeight="1">
      <c r="C5" s="31"/>
      <c r="D5" s="31"/>
      <c r="I5" s="31"/>
      <c r="J5" s="31"/>
      <c r="K5" s="31"/>
    </row>
    <row r="6" spans="9:11" s="29" customFormat="1" ht="15" customHeight="1">
      <c r="I6" s="31"/>
      <c r="J6" s="31"/>
      <c r="K6" s="31"/>
    </row>
    <row r="7" spans="1:11" s="29" customFormat="1" ht="15" customHeight="1">
      <c r="A7" s="29" t="s">
        <v>5</v>
      </c>
      <c r="I7" s="31"/>
      <c r="J7" s="31"/>
      <c r="K7" s="31"/>
    </row>
    <row r="8" spans="9:11" s="29" customFormat="1" ht="15" customHeight="1">
      <c r="I8" s="31"/>
      <c r="J8" s="31"/>
      <c r="K8" s="31"/>
    </row>
    <row r="9" spans="8:11" s="29" customFormat="1" ht="15" customHeight="1">
      <c r="H9" s="30" t="s">
        <v>3</v>
      </c>
      <c r="I9" s="31"/>
      <c r="J9" s="31"/>
      <c r="K9" s="32"/>
    </row>
    <row r="10" spans="1:13" s="29" customFormat="1" ht="62.25" customHeight="1">
      <c r="A10" s="33" t="s">
        <v>6</v>
      </c>
      <c r="B10" s="33" t="s">
        <v>84</v>
      </c>
      <c r="C10" s="90" t="s">
        <v>154</v>
      </c>
      <c r="D10" s="90" t="s">
        <v>155</v>
      </c>
      <c r="E10" s="90" t="s">
        <v>156</v>
      </c>
      <c r="F10" s="90" t="s">
        <v>166</v>
      </c>
      <c r="G10" s="90" t="s">
        <v>157</v>
      </c>
      <c r="H10" s="90" t="s">
        <v>158</v>
      </c>
      <c r="J10" s="34"/>
      <c r="K10" s="34"/>
      <c r="L10" s="34"/>
      <c r="M10" s="34"/>
    </row>
    <row r="11" spans="1:13" s="29" customFormat="1" ht="15" customHeight="1">
      <c r="A11" s="33" t="s">
        <v>0</v>
      </c>
      <c r="B11" s="33">
        <v>1</v>
      </c>
      <c r="C11" s="35">
        <v>2</v>
      </c>
      <c r="D11" s="35">
        <v>3</v>
      </c>
      <c r="E11" s="33">
        <v>4</v>
      </c>
      <c r="F11" s="33">
        <v>5</v>
      </c>
      <c r="G11" s="33">
        <v>6</v>
      </c>
      <c r="H11" s="35">
        <v>7</v>
      </c>
      <c r="J11" s="34"/>
      <c r="K11" s="34"/>
      <c r="L11" s="34"/>
      <c r="M11" s="34"/>
    </row>
    <row r="12" spans="1:13" s="29" customFormat="1" ht="17.25" customHeight="1">
      <c r="A12" s="36" t="s">
        <v>7</v>
      </c>
      <c r="B12" s="37"/>
      <c r="C12" s="38"/>
      <c r="D12" s="38"/>
      <c r="E12" s="37"/>
      <c r="F12" s="37"/>
      <c r="G12" s="37"/>
      <c r="H12" s="38"/>
      <c r="J12" s="34"/>
      <c r="K12" s="34"/>
      <c r="L12" s="34"/>
      <c r="M12" s="34"/>
    </row>
    <row r="13" spans="1:13" s="29" customFormat="1" ht="15" customHeight="1">
      <c r="A13" s="39" t="s">
        <v>8</v>
      </c>
      <c r="B13" s="40">
        <v>315360</v>
      </c>
      <c r="C13" s="40">
        <v>289665</v>
      </c>
      <c r="D13" s="40">
        <v>264305</v>
      </c>
      <c r="E13" s="40">
        <f>+D13-B13</f>
        <v>-51055</v>
      </c>
      <c r="F13" s="40">
        <f>+D13-C13</f>
        <v>-25360</v>
      </c>
      <c r="G13" s="41">
        <f>+D13/B13*100</f>
        <v>83.81056570268899</v>
      </c>
      <c r="H13" s="41">
        <f>+D13/C13*100</f>
        <v>91.24505894740476</v>
      </c>
      <c r="J13" s="31"/>
      <c r="K13" s="42"/>
      <c r="L13" s="42"/>
      <c r="M13" s="43"/>
    </row>
    <row r="14" spans="1:13" s="29" customFormat="1" ht="15" customHeight="1">
      <c r="A14" s="44" t="s">
        <v>9</v>
      </c>
      <c r="B14" s="45">
        <v>11046</v>
      </c>
      <c r="C14" s="40">
        <v>9570</v>
      </c>
      <c r="D14" s="40">
        <v>8988</v>
      </c>
      <c r="E14" s="40">
        <f aca="true" t="shared" si="0" ref="E14:E65">+D14-B14</f>
        <v>-2058</v>
      </c>
      <c r="F14" s="40">
        <f aca="true" t="shared" si="1" ref="F14:F65">+D14-C14</f>
        <v>-582</v>
      </c>
      <c r="G14" s="41">
        <f>+D14/B14*100</f>
        <v>81.36882129277566</v>
      </c>
      <c r="H14" s="41">
        <f>+D14/C14*100</f>
        <v>93.91849529780563</v>
      </c>
      <c r="J14" s="34"/>
      <c r="K14" s="42"/>
      <c r="L14" s="42"/>
      <c r="M14" s="43"/>
    </row>
    <row r="15" spans="1:13" s="29" customFormat="1" ht="15" customHeight="1">
      <c r="A15" s="44" t="s">
        <v>10</v>
      </c>
      <c r="B15" s="45">
        <v>63</v>
      </c>
      <c r="C15" s="40">
        <v>52</v>
      </c>
      <c r="D15" s="40">
        <v>43</v>
      </c>
      <c r="E15" s="40">
        <f t="shared" si="0"/>
        <v>-20</v>
      </c>
      <c r="F15" s="40">
        <f t="shared" si="1"/>
        <v>-9</v>
      </c>
      <c r="G15" s="41">
        <f>+D15/B15*100</f>
        <v>68.25396825396825</v>
      </c>
      <c r="H15" s="41">
        <f>+D15/C15*100</f>
        <v>82.6923076923077</v>
      </c>
      <c r="J15" s="34"/>
      <c r="K15" s="42"/>
      <c r="L15" s="42"/>
      <c r="M15" s="43"/>
    </row>
    <row r="16" spans="1:13" s="29" customFormat="1" ht="15" customHeight="1">
      <c r="A16" s="44" t="s">
        <v>11</v>
      </c>
      <c r="B16" s="45">
        <v>125804</v>
      </c>
      <c r="C16" s="46">
        <v>128873</v>
      </c>
      <c r="D16" s="46">
        <v>126098</v>
      </c>
      <c r="E16" s="40">
        <f t="shared" si="0"/>
        <v>294</v>
      </c>
      <c r="F16" s="40">
        <f t="shared" si="1"/>
        <v>-2775</v>
      </c>
      <c r="G16" s="41">
        <f>+D16/B16*100</f>
        <v>100.233696861785</v>
      </c>
      <c r="H16" s="41">
        <f>+D16/C16*100</f>
        <v>97.8467173108409</v>
      </c>
      <c r="J16" s="34"/>
      <c r="K16" s="42"/>
      <c r="L16" s="42"/>
      <c r="M16" s="43"/>
    </row>
    <row r="17" spans="1:13" s="29" customFormat="1" ht="15" customHeight="1">
      <c r="A17" s="47" t="s">
        <v>12</v>
      </c>
      <c r="B17" s="48">
        <f>SUM(B13:B16)</f>
        <v>452273</v>
      </c>
      <c r="C17" s="48">
        <f>SUM(C13:C16)</f>
        <v>428160</v>
      </c>
      <c r="D17" s="48">
        <f>SUM(D13:D16)</f>
        <v>399434</v>
      </c>
      <c r="E17" s="49">
        <f t="shared" si="0"/>
        <v>-52839</v>
      </c>
      <c r="F17" s="49">
        <f t="shared" si="1"/>
        <v>-28726</v>
      </c>
      <c r="G17" s="50">
        <f>+D17/B17*100</f>
        <v>88.31701207014348</v>
      </c>
      <c r="H17" s="50">
        <f>+D17/C17*100</f>
        <v>93.29082585949178</v>
      </c>
      <c r="J17" s="31"/>
      <c r="K17" s="42"/>
      <c r="L17" s="51"/>
      <c r="M17" s="43"/>
    </row>
    <row r="18" spans="1:8" ht="15" customHeight="1">
      <c r="A18" s="52" t="s">
        <v>13</v>
      </c>
      <c r="B18" s="52"/>
      <c r="C18" s="52"/>
      <c r="D18" s="52"/>
      <c r="E18" s="40"/>
      <c r="F18" s="40"/>
      <c r="G18" s="52"/>
      <c r="H18" s="52"/>
    </row>
    <row r="19" spans="1:8" ht="15" customHeight="1">
      <c r="A19" s="52" t="s">
        <v>14</v>
      </c>
      <c r="B19" s="53">
        <v>4344570</v>
      </c>
      <c r="C19" s="55">
        <v>4165740</v>
      </c>
      <c r="D19" s="54">
        <v>4391172</v>
      </c>
      <c r="E19" s="40">
        <f t="shared" si="0"/>
        <v>46602</v>
      </c>
      <c r="F19" s="40">
        <f t="shared" si="1"/>
        <v>225432</v>
      </c>
      <c r="G19" s="41">
        <f>+D19/B19*100</f>
        <v>101.07264930706606</v>
      </c>
      <c r="H19" s="41">
        <f aca="true" t="shared" si="2" ref="H19:H25">+D19/C19*100</f>
        <v>105.41157153350906</v>
      </c>
    </row>
    <row r="20" spans="1:8" ht="15" customHeight="1">
      <c r="A20" s="52" t="s">
        <v>15</v>
      </c>
      <c r="B20" s="55">
        <v>131416</v>
      </c>
      <c r="C20" s="55">
        <v>128032</v>
      </c>
      <c r="D20" s="54">
        <v>117644</v>
      </c>
      <c r="E20" s="40">
        <f t="shared" si="0"/>
        <v>-13772</v>
      </c>
      <c r="F20" s="40">
        <f t="shared" si="1"/>
        <v>-10388</v>
      </c>
      <c r="G20" s="41">
        <f>+D20/B20*100</f>
        <v>89.52030194192488</v>
      </c>
      <c r="H20" s="41">
        <f t="shared" si="2"/>
        <v>91.88640339915021</v>
      </c>
    </row>
    <row r="21" spans="1:8" ht="15" customHeight="1">
      <c r="A21" s="52" t="s">
        <v>16</v>
      </c>
      <c r="B21" s="55">
        <v>444247</v>
      </c>
      <c r="C21" s="55">
        <v>428324</v>
      </c>
      <c r="D21" s="54">
        <v>443140</v>
      </c>
      <c r="E21" s="40">
        <f t="shared" si="0"/>
        <v>-1107</v>
      </c>
      <c r="F21" s="40">
        <f t="shared" si="1"/>
        <v>14816</v>
      </c>
      <c r="G21" s="41">
        <f>+D21/B21*100</f>
        <v>99.75081429925244</v>
      </c>
      <c r="H21" s="41">
        <f t="shared" si="2"/>
        <v>103.45906369944248</v>
      </c>
    </row>
    <row r="22" spans="1:8" ht="15" customHeight="1">
      <c r="A22" s="52" t="s">
        <v>17</v>
      </c>
      <c r="B22" s="55">
        <v>36769</v>
      </c>
      <c r="C22" s="55">
        <v>34746</v>
      </c>
      <c r="D22" s="54">
        <v>37756</v>
      </c>
      <c r="E22" s="40">
        <f t="shared" si="0"/>
        <v>987</v>
      </c>
      <c r="F22" s="40">
        <f t="shared" si="1"/>
        <v>3010</v>
      </c>
      <c r="G22" s="41">
        <f>+D22/B22*100</f>
        <v>102.68432647066822</v>
      </c>
      <c r="H22" s="41">
        <f t="shared" si="2"/>
        <v>108.6628676682208</v>
      </c>
    </row>
    <row r="23" spans="1:8" ht="15" customHeight="1">
      <c r="A23" s="52" t="s">
        <v>18</v>
      </c>
      <c r="B23" s="55">
        <v>3917</v>
      </c>
      <c r="C23" s="55">
        <v>3362</v>
      </c>
      <c r="D23" s="54">
        <v>2855</v>
      </c>
      <c r="E23" s="40">
        <f t="shared" si="0"/>
        <v>-1062</v>
      </c>
      <c r="F23" s="40">
        <f t="shared" si="1"/>
        <v>-507</v>
      </c>
      <c r="G23" s="41">
        <f>+D23/B23*100</f>
        <v>72.88741383712023</v>
      </c>
      <c r="H23" s="41">
        <f t="shared" si="2"/>
        <v>84.91969066032124</v>
      </c>
    </row>
    <row r="24" spans="1:8" ht="15" customHeight="1">
      <c r="A24" s="52" t="s">
        <v>19</v>
      </c>
      <c r="B24" s="55">
        <v>0</v>
      </c>
      <c r="C24" s="55">
        <v>137</v>
      </c>
      <c r="D24" s="54">
        <v>174</v>
      </c>
      <c r="E24" s="40">
        <f t="shared" si="0"/>
        <v>174</v>
      </c>
      <c r="F24" s="40">
        <f t="shared" si="1"/>
        <v>37</v>
      </c>
      <c r="G24" s="41">
        <v>0</v>
      </c>
      <c r="H24" s="41">
        <f t="shared" si="2"/>
        <v>127.00729927007299</v>
      </c>
    </row>
    <row r="25" spans="1:8" ht="15" customHeight="1">
      <c r="A25" s="56" t="s">
        <v>4</v>
      </c>
      <c r="B25" s="57">
        <f>B19+B20+B21+B22+B23+B24</f>
        <v>4960919</v>
      </c>
      <c r="C25" s="57">
        <v>4760341</v>
      </c>
      <c r="D25" s="57">
        <v>4992741</v>
      </c>
      <c r="E25" s="49">
        <f t="shared" si="0"/>
        <v>31822</v>
      </c>
      <c r="F25" s="49">
        <f t="shared" si="1"/>
        <v>232400</v>
      </c>
      <c r="G25" s="50">
        <f>+D25/B25*100</f>
        <v>100.6414537306495</v>
      </c>
      <c r="H25" s="50">
        <f t="shared" si="2"/>
        <v>104.88200320103118</v>
      </c>
    </row>
    <row r="26" spans="1:8" ht="15" customHeight="1">
      <c r="A26" s="52" t="s">
        <v>20</v>
      </c>
      <c r="B26" s="55"/>
      <c r="C26" s="55"/>
      <c r="D26" s="55"/>
      <c r="E26" s="40"/>
      <c r="F26" s="40"/>
      <c r="G26" s="55"/>
      <c r="H26" s="55"/>
    </row>
    <row r="27" spans="1:8" ht="15" customHeight="1">
      <c r="A27" s="52" t="s">
        <v>21</v>
      </c>
      <c r="B27" s="55">
        <v>763951</v>
      </c>
      <c r="C27" s="55">
        <v>722918</v>
      </c>
      <c r="D27" s="54">
        <v>743595</v>
      </c>
      <c r="E27" s="40">
        <f t="shared" si="0"/>
        <v>-20356</v>
      </c>
      <c r="F27" s="40">
        <f t="shared" si="1"/>
        <v>20677</v>
      </c>
      <c r="G27" s="41">
        <f>+D27/B27*100</f>
        <v>97.33543119912142</v>
      </c>
      <c r="H27" s="41">
        <f aca="true" t="shared" si="3" ref="H27:H64">+D27/C27*100</f>
        <v>102.86021374485072</v>
      </c>
    </row>
    <row r="28" spans="1:8" ht="15" customHeight="1">
      <c r="A28" s="52" t="s">
        <v>16</v>
      </c>
      <c r="B28" s="55">
        <v>112536</v>
      </c>
      <c r="C28" s="55">
        <v>105520</v>
      </c>
      <c r="D28" s="54">
        <v>105562</v>
      </c>
      <c r="E28" s="40">
        <f t="shared" si="0"/>
        <v>-6974</v>
      </c>
      <c r="F28" s="40">
        <f t="shared" si="1"/>
        <v>42</v>
      </c>
      <c r="G28" s="41">
        <f>+D28/B28*100</f>
        <v>93.80287196985854</v>
      </c>
      <c r="H28" s="41">
        <f t="shared" si="3"/>
        <v>100.03980288097043</v>
      </c>
    </row>
    <row r="29" spans="1:8" ht="15" customHeight="1">
      <c r="A29" s="52" t="s">
        <v>22</v>
      </c>
      <c r="B29" s="55">
        <v>12545</v>
      </c>
      <c r="C29" s="55">
        <v>11423</v>
      </c>
      <c r="D29" s="54">
        <v>12421</v>
      </c>
      <c r="E29" s="40">
        <f t="shared" si="0"/>
        <v>-124</v>
      </c>
      <c r="F29" s="40">
        <f t="shared" si="1"/>
        <v>998</v>
      </c>
      <c r="G29" s="41">
        <f>+D29/B29*100</f>
        <v>99.01155838979673</v>
      </c>
      <c r="H29" s="41">
        <f t="shared" si="3"/>
        <v>108.73675917009543</v>
      </c>
    </row>
    <row r="30" spans="1:8" ht="15" customHeight="1">
      <c r="A30" s="52" t="s">
        <v>18</v>
      </c>
      <c r="B30" s="55">
        <v>44630</v>
      </c>
      <c r="C30" s="55">
        <v>39439</v>
      </c>
      <c r="D30" s="54">
        <v>39678</v>
      </c>
      <c r="E30" s="40">
        <f t="shared" si="0"/>
        <v>-4952</v>
      </c>
      <c r="F30" s="40">
        <f t="shared" si="1"/>
        <v>239</v>
      </c>
      <c r="G30" s="41">
        <f>+D30/B30*100</f>
        <v>88.90432444544028</v>
      </c>
      <c r="H30" s="41">
        <f t="shared" si="3"/>
        <v>100.60599913790918</v>
      </c>
    </row>
    <row r="31" spans="1:8" ht="15" customHeight="1">
      <c r="A31" s="52" t="s">
        <v>19</v>
      </c>
      <c r="B31" s="55">
        <v>0</v>
      </c>
      <c r="C31" s="55">
        <v>189</v>
      </c>
      <c r="D31" s="54">
        <v>198</v>
      </c>
      <c r="E31" s="40">
        <f t="shared" si="0"/>
        <v>198</v>
      </c>
      <c r="F31" s="40">
        <f t="shared" si="1"/>
        <v>9</v>
      </c>
      <c r="G31" s="41">
        <v>0</v>
      </c>
      <c r="H31" s="41">
        <f t="shared" si="3"/>
        <v>104.76190476190477</v>
      </c>
    </row>
    <row r="32" spans="1:8" ht="15" customHeight="1">
      <c r="A32" s="56" t="s">
        <v>4</v>
      </c>
      <c r="B32" s="57">
        <f>B27+B28+B29+B30+B31</f>
        <v>933662</v>
      </c>
      <c r="C32" s="57">
        <v>879489</v>
      </c>
      <c r="D32" s="57">
        <v>901454</v>
      </c>
      <c r="E32" s="49">
        <f t="shared" si="0"/>
        <v>-32208</v>
      </c>
      <c r="F32" s="49">
        <f t="shared" si="1"/>
        <v>21965</v>
      </c>
      <c r="G32" s="50">
        <f>+D32/B32*100</f>
        <v>96.55035762406524</v>
      </c>
      <c r="H32" s="50">
        <f t="shared" si="3"/>
        <v>102.49747296441456</v>
      </c>
    </row>
    <row r="33" spans="1:8" ht="15" customHeight="1">
      <c r="A33" s="52" t="s">
        <v>23</v>
      </c>
      <c r="B33" s="55"/>
      <c r="C33" s="52"/>
      <c r="D33" s="52"/>
      <c r="E33" s="40"/>
      <c r="F33" s="40"/>
      <c r="G33" s="55"/>
      <c r="H33" s="55"/>
    </row>
    <row r="34" spans="1:8" ht="15" customHeight="1">
      <c r="A34" s="52" t="s">
        <v>14</v>
      </c>
      <c r="B34" s="53">
        <f>+B19</f>
        <v>4344570</v>
      </c>
      <c r="C34" s="53">
        <v>4165740</v>
      </c>
      <c r="D34" s="53">
        <f>+D19</f>
        <v>4391172</v>
      </c>
      <c r="E34" s="40">
        <f t="shared" si="0"/>
        <v>46602</v>
      </c>
      <c r="F34" s="40">
        <f t="shared" si="1"/>
        <v>225432</v>
      </c>
      <c r="G34" s="41">
        <f aca="true" t="shared" si="4" ref="G34:G39">+D34/B34*100</f>
        <v>101.07264930706606</v>
      </c>
      <c r="H34" s="41">
        <f t="shared" si="3"/>
        <v>105.41157153350906</v>
      </c>
    </row>
    <row r="35" spans="1:8" ht="15" customHeight="1">
      <c r="A35" s="52" t="s">
        <v>15</v>
      </c>
      <c r="B35" s="53">
        <f>+B20</f>
        <v>131416</v>
      </c>
      <c r="C35" s="53">
        <v>128032</v>
      </c>
      <c r="D35" s="53">
        <f>+D20</f>
        <v>117644</v>
      </c>
      <c r="E35" s="40">
        <f t="shared" si="0"/>
        <v>-13772</v>
      </c>
      <c r="F35" s="40">
        <f t="shared" si="1"/>
        <v>-10388</v>
      </c>
      <c r="G35" s="41">
        <f t="shared" si="4"/>
        <v>89.52030194192488</v>
      </c>
      <c r="H35" s="41">
        <f t="shared" si="3"/>
        <v>91.88640339915021</v>
      </c>
    </row>
    <row r="36" spans="1:8" ht="15" customHeight="1">
      <c r="A36" s="52" t="s">
        <v>21</v>
      </c>
      <c r="B36" s="53">
        <f>+B27</f>
        <v>763951</v>
      </c>
      <c r="C36" s="53">
        <v>722918</v>
      </c>
      <c r="D36" s="53">
        <f>+D27</f>
        <v>743595</v>
      </c>
      <c r="E36" s="40">
        <f t="shared" si="0"/>
        <v>-20356</v>
      </c>
      <c r="F36" s="40">
        <f t="shared" si="1"/>
        <v>20677</v>
      </c>
      <c r="G36" s="41">
        <f t="shared" si="4"/>
        <v>97.33543119912142</v>
      </c>
      <c r="H36" s="41">
        <f t="shared" si="3"/>
        <v>102.86021374485072</v>
      </c>
    </row>
    <row r="37" spans="1:8" ht="15" customHeight="1">
      <c r="A37" s="52" t="s">
        <v>16</v>
      </c>
      <c r="B37" s="53">
        <f>+B21+B28</f>
        <v>556783</v>
      </c>
      <c r="C37" s="53">
        <v>533844</v>
      </c>
      <c r="D37" s="53">
        <f>+D21+D28</f>
        <v>548702</v>
      </c>
      <c r="E37" s="40">
        <f t="shared" si="0"/>
        <v>-8081</v>
      </c>
      <c r="F37" s="40">
        <f t="shared" si="1"/>
        <v>14858</v>
      </c>
      <c r="G37" s="41">
        <f t="shared" si="4"/>
        <v>98.548626664248</v>
      </c>
      <c r="H37" s="41">
        <f t="shared" si="3"/>
        <v>102.78321007635189</v>
      </c>
    </row>
    <row r="38" spans="1:8" ht="15" customHeight="1">
      <c r="A38" s="52" t="s">
        <v>17</v>
      </c>
      <c r="B38" s="53">
        <f>+B22+B29</f>
        <v>49314</v>
      </c>
      <c r="C38" s="53">
        <v>46169</v>
      </c>
      <c r="D38" s="53">
        <f>+D22+D29</f>
        <v>50177</v>
      </c>
      <c r="E38" s="40">
        <f t="shared" si="0"/>
        <v>863</v>
      </c>
      <c r="F38" s="40">
        <f t="shared" si="1"/>
        <v>4008</v>
      </c>
      <c r="G38" s="41">
        <f t="shared" si="4"/>
        <v>101.75001013910855</v>
      </c>
      <c r="H38" s="41">
        <f t="shared" si="3"/>
        <v>108.68114968918539</v>
      </c>
    </row>
    <row r="39" spans="1:8" ht="15" customHeight="1">
      <c r="A39" s="52" t="s">
        <v>18</v>
      </c>
      <c r="B39" s="53">
        <f>+B23+B30</f>
        <v>48547</v>
      </c>
      <c r="C39" s="53">
        <v>42801</v>
      </c>
      <c r="D39" s="53">
        <f>+D23+D30</f>
        <v>42533</v>
      </c>
      <c r="E39" s="40">
        <f t="shared" si="0"/>
        <v>-6014</v>
      </c>
      <c r="F39" s="40">
        <f t="shared" si="1"/>
        <v>-268</v>
      </c>
      <c r="G39" s="41">
        <f t="shared" si="4"/>
        <v>87.61200486126846</v>
      </c>
      <c r="H39" s="41">
        <f t="shared" si="3"/>
        <v>99.37384640545783</v>
      </c>
    </row>
    <row r="40" spans="1:8" ht="15" customHeight="1">
      <c r="A40" s="52" t="s">
        <v>19</v>
      </c>
      <c r="B40" s="53">
        <f>+B24+B31</f>
        <v>0</v>
      </c>
      <c r="C40" s="53">
        <v>326</v>
      </c>
      <c r="D40" s="53">
        <f>+D24+D31</f>
        <v>372</v>
      </c>
      <c r="E40" s="40">
        <f t="shared" si="0"/>
        <v>372</v>
      </c>
      <c r="F40" s="40">
        <f t="shared" si="1"/>
        <v>46</v>
      </c>
      <c r="G40" s="41">
        <v>0</v>
      </c>
      <c r="H40" s="41">
        <f t="shared" si="3"/>
        <v>114.11042944785277</v>
      </c>
    </row>
    <row r="41" spans="1:8" ht="15" customHeight="1">
      <c r="A41" s="56" t="s">
        <v>24</v>
      </c>
      <c r="B41" s="57">
        <f>SUM(B34:B40)</f>
        <v>5894581</v>
      </c>
      <c r="C41" s="57">
        <v>5639830</v>
      </c>
      <c r="D41" s="57">
        <f>SUM(D34:D40)</f>
        <v>5894195</v>
      </c>
      <c r="E41" s="49">
        <f t="shared" si="0"/>
        <v>-386</v>
      </c>
      <c r="F41" s="49">
        <f t="shared" si="1"/>
        <v>254365</v>
      </c>
      <c r="G41" s="50">
        <f>+D41/B41*100</f>
        <v>99.99345161259129</v>
      </c>
      <c r="H41" s="50">
        <f>+D41/C41*100</f>
        <v>104.51015367484482</v>
      </c>
    </row>
    <row r="42" spans="1:8" ht="15" customHeight="1">
      <c r="A42" s="52" t="s">
        <v>25</v>
      </c>
      <c r="B42" s="52"/>
      <c r="C42" s="52"/>
      <c r="D42" s="52"/>
      <c r="E42" s="40"/>
      <c r="F42" s="40"/>
      <c r="G42" s="52"/>
      <c r="H42" s="52"/>
    </row>
    <row r="43" spans="1:8" ht="15" customHeight="1">
      <c r="A43" s="55" t="s">
        <v>26</v>
      </c>
      <c r="B43" s="55">
        <v>3497</v>
      </c>
      <c r="C43" s="53">
        <v>3378</v>
      </c>
      <c r="D43" s="53">
        <v>3515</v>
      </c>
      <c r="E43" s="40">
        <f t="shared" si="0"/>
        <v>18</v>
      </c>
      <c r="F43" s="40">
        <f t="shared" si="1"/>
        <v>137</v>
      </c>
      <c r="G43" s="41">
        <f>+D43/B43*100</f>
        <v>100.51472690877897</v>
      </c>
      <c r="H43" s="41">
        <f t="shared" si="3"/>
        <v>104.05565423327413</v>
      </c>
    </row>
    <row r="44" spans="1:8" ht="15" customHeight="1">
      <c r="A44" s="55" t="s">
        <v>27</v>
      </c>
      <c r="B44" s="55">
        <v>23777</v>
      </c>
      <c r="C44" s="53">
        <v>22277</v>
      </c>
      <c r="D44" s="53">
        <v>23141</v>
      </c>
      <c r="E44" s="40">
        <f t="shared" si="0"/>
        <v>-636</v>
      </c>
      <c r="F44" s="40">
        <f t="shared" si="1"/>
        <v>864</v>
      </c>
      <c r="G44" s="41">
        <f>+D44/B44*100</f>
        <v>97.3251461496404</v>
      </c>
      <c r="H44" s="41">
        <f t="shared" si="3"/>
        <v>103.87843964627194</v>
      </c>
    </row>
    <row r="45" spans="1:8" ht="15" customHeight="1">
      <c r="A45" s="55" t="s">
        <v>28</v>
      </c>
      <c r="B45" s="55">
        <v>270</v>
      </c>
      <c r="C45" s="53">
        <v>242</v>
      </c>
      <c r="D45" s="53">
        <v>140</v>
      </c>
      <c r="E45" s="40">
        <f t="shared" si="0"/>
        <v>-130</v>
      </c>
      <c r="F45" s="40">
        <f t="shared" si="1"/>
        <v>-102</v>
      </c>
      <c r="G45" s="41">
        <f>+D45/B45*100</f>
        <v>51.85185185185185</v>
      </c>
      <c r="H45" s="41">
        <f t="shared" si="3"/>
        <v>57.85123966942148</v>
      </c>
    </row>
    <row r="46" spans="1:8" ht="15" customHeight="1">
      <c r="A46" s="58" t="s">
        <v>29</v>
      </c>
      <c r="B46" s="58">
        <v>359</v>
      </c>
      <c r="C46" s="53">
        <v>328</v>
      </c>
      <c r="D46" s="53">
        <v>327</v>
      </c>
      <c r="E46" s="40">
        <f t="shared" si="0"/>
        <v>-32</v>
      </c>
      <c r="F46" s="40">
        <f t="shared" si="1"/>
        <v>-1</v>
      </c>
      <c r="G46" s="41">
        <f>+D46/B46*100</f>
        <v>91.08635097493037</v>
      </c>
      <c r="H46" s="41">
        <f t="shared" si="3"/>
        <v>99.6951219512195</v>
      </c>
    </row>
    <row r="47" spans="1:8" ht="15" customHeight="1">
      <c r="A47" s="58" t="s">
        <v>30</v>
      </c>
      <c r="B47" s="58">
        <v>717</v>
      </c>
      <c r="C47" s="53">
        <v>690</v>
      </c>
      <c r="D47" s="53">
        <v>479</v>
      </c>
      <c r="E47" s="40">
        <f t="shared" si="0"/>
        <v>-238</v>
      </c>
      <c r="F47" s="40">
        <f t="shared" si="1"/>
        <v>-211</v>
      </c>
      <c r="G47" s="41">
        <f>+D47/B47*100</f>
        <v>66.80613668061368</v>
      </c>
      <c r="H47" s="41">
        <f t="shared" si="3"/>
        <v>69.42028985507245</v>
      </c>
    </row>
    <row r="48" spans="1:8" ht="15" customHeight="1">
      <c r="A48" s="58" t="s">
        <v>31</v>
      </c>
      <c r="B48" s="58">
        <v>0</v>
      </c>
      <c r="C48" s="53">
        <v>0</v>
      </c>
      <c r="D48" s="53">
        <v>0</v>
      </c>
      <c r="E48" s="40">
        <f t="shared" si="0"/>
        <v>0</v>
      </c>
      <c r="F48" s="40">
        <f t="shared" si="1"/>
        <v>0</v>
      </c>
      <c r="G48" s="40">
        <v>0</v>
      </c>
      <c r="H48" s="40">
        <v>0</v>
      </c>
    </row>
    <row r="49" spans="1:8" ht="15" customHeight="1">
      <c r="A49" s="52" t="s">
        <v>32</v>
      </c>
      <c r="B49" s="55">
        <v>0</v>
      </c>
      <c r="C49" s="53">
        <v>0</v>
      </c>
      <c r="D49" s="53">
        <v>0</v>
      </c>
      <c r="E49" s="40">
        <f t="shared" si="0"/>
        <v>0</v>
      </c>
      <c r="F49" s="40">
        <f t="shared" si="1"/>
        <v>0</v>
      </c>
      <c r="G49" s="40">
        <v>0</v>
      </c>
      <c r="H49" s="40">
        <v>0</v>
      </c>
    </row>
    <row r="50" spans="1:8" s="61" customFormat="1" ht="27.75" customHeight="1">
      <c r="A50" s="59" t="s">
        <v>33</v>
      </c>
      <c r="B50" s="59">
        <v>14467</v>
      </c>
      <c r="C50" s="60">
        <v>13536</v>
      </c>
      <c r="D50" s="60">
        <v>13898</v>
      </c>
      <c r="E50" s="40">
        <f t="shared" si="0"/>
        <v>-569</v>
      </c>
      <c r="F50" s="40">
        <f t="shared" si="1"/>
        <v>362</v>
      </c>
      <c r="G50" s="45">
        <f>+D50/B50*100</f>
        <v>96.06691090067049</v>
      </c>
      <c r="H50" s="45">
        <f t="shared" si="3"/>
        <v>102.67434988179669</v>
      </c>
    </row>
    <row r="51" spans="1:8" ht="15" customHeight="1">
      <c r="A51" s="52" t="s">
        <v>34</v>
      </c>
      <c r="B51" s="55">
        <v>100</v>
      </c>
      <c r="C51" s="53">
        <v>106</v>
      </c>
      <c r="D51" s="53">
        <v>97</v>
      </c>
      <c r="E51" s="40">
        <f t="shared" si="0"/>
        <v>-3</v>
      </c>
      <c r="F51" s="40">
        <f t="shared" si="1"/>
        <v>-9</v>
      </c>
      <c r="G51" s="41">
        <f>+D51/B51*100</f>
        <v>97</v>
      </c>
      <c r="H51" s="41">
        <f t="shared" si="3"/>
        <v>91.50943396226415</v>
      </c>
    </row>
    <row r="52" spans="1:8" ht="15" customHeight="1">
      <c r="A52" s="52" t="s">
        <v>35</v>
      </c>
      <c r="B52" s="55">
        <v>80</v>
      </c>
      <c r="C52" s="53">
        <v>80</v>
      </c>
      <c r="D52" s="53">
        <v>59</v>
      </c>
      <c r="E52" s="40">
        <f t="shared" si="0"/>
        <v>-21</v>
      </c>
      <c r="F52" s="40">
        <f t="shared" si="1"/>
        <v>-21</v>
      </c>
      <c r="G52" s="41">
        <f>+D52/B52*100</f>
        <v>73.75</v>
      </c>
      <c r="H52" s="41">
        <f t="shared" si="3"/>
        <v>73.75</v>
      </c>
    </row>
    <row r="53" spans="1:8" ht="15" customHeight="1">
      <c r="A53" s="52" t="s">
        <v>36</v>
      </c>
      <c r="B53" s="55">
        <v>163</v>
      </c>
      <c r="C53" s="53">
        <v>398</v>
      </c>
      <c r="D53" s="53">
        <v>240</v>
      </c>
      <c r="E53" s="40">
        <f t="shared" si="0"/>
        <v>77</v>
      </c>
      <c r="F53" s="40">
        <f t="shared" si="1"/>
        <v>-158</v>
      </c>
      <c r="G53" s="41">
        <f>+D53/B53*100</f>
        <v>147.23926380368098</v>
      </c>
      <c r="H53" s="41">
        <f t="shared" si="3"/>
        <v>60.30150753768844</v>
      </c>
    </row>
    <row r="54" spans="1:8" ht="15" customHeight="1">
      <c r="A54" s="52" t="s">
        <v>37</v>
      </c>
      <c r="B54" s="55">
        <v>0</v>
      </c>
      <c r="C54" s="62">
        <v>-125</v>
      </c>
      <c r="D54" s="62">
        <v>-107</v>
      </c>
      <c r="E54" s="40">
        <f t="shared" si="0"/>
        <v>-107</v>
      </c>
      <c r="F54" s="40">
        <f t="shared" si="1"/>
        <v>18</v>
      </c>
      <c r="G54" s="41">
        <v>0</v>
      </c>
      <c r="H54" s="41">
        <f t="shared" si="3"/>
        <v>85.6</v>
      </c>
    </row>
    <row r="55" spans="1:8" ht="15" customHeight="1">
      <c r="A55" s="63" t="s">
        <v>38</v>
      </c>
      <c r="B55" s="55">
        <v>2235</v>
      </c>
      <c r="C55" s="64">
        <v>2306</v>
      </c>
      <c r="D55" s="64">
        <v>2491</v>
      </c>
      <c r="E55" s="40">
        <f t="shared" si="0"/>
        <v>256</v>
      </c>
      <c r="F55" s="40">
        <f t="shared" si="1"/>
        <v>185</v>
      </c>
      <c r="G55" s="41">
        <f>+D55/B55*100</f>
        <v>111.45413870246085</v>
      </c>
      <c r="H55" s="41">
        <f t="shared" si="3"/>
        <v>108.02254986990461</v>
      </c>
    </row>
    <row r="56" spans="1:8" ht="15" customHeight="1">
      <c r="A56" s="63" t="s">
        <v>24</v>
      </c>
      <c r="B56" s="57">
        <f>+B43+B44+B45+B46+B47+B48+B49+B50+B51+B52+B53+B54+B55</f>
        <v>45665</v>
      </c>
      <c r="C56" s="57">
        <v>43216</v>
      </c>
      <c r="D56" s="57">
        <f>SUM(D43:D55)</f>
        <v>44280</v>
      </c>
      <c r="E56" s="49">
        <f t="shared" si="0"/>
        <v>-1385</v>
      </c>
      <c r="F56" s="49">
        <f t="shared" si="1"/>
        <v>1064</v>
      </c>
      <c r="G56" s="50">
        <f>+D56/B56*100</f>
        <v>96.96704259279537</v>
      </c>
      <c r="H56" s="50">
        <f t="shared" si="3"/>
        <v>102.46205109218809</v>
      </c>
    </row>
    <row r="57" spans="1:8" ht="15" customHeight="1">
      <c r="A57" s="65" t="s">
        <v>39</v>
      </c>
      <c r="B57" s="55"/>
      <c r="C57" s="55"/>
      <c r="D57" s="55"/>
      <c r="E57" s="40"/>
      <c r="F57" s="40"/>
      <c r="G57" s="66"/>
      <c r="H57" s="67"/>
    </row>
    <row r="58" spans="1:8" ht="15" customHeight="1">
      <c r="A58" s="68" t="s">
        <v>40</v>
      </c>
      <c r="B58" s="69">
        <v>7871</v>
      </c>
      <c r="C58" s="69">
        <v>6674</v>
      </c>
      <c r="D58" s="69">
        <v>4862</v>
      </c>
      <c r="E58" s="40">
        <f t="shared" si="0"/>
        <v>-3009</v>
      </c>
      <c r="F58" s="40">
        <f t="shared" si="1"/>
        <v>-1812</v>
      </c>
      <c r="G58" s="41">
        <f>+D58/B58*100</f>
        <v>61.77105831533477</v>
      </c>
      <c r="H58" s="41">
        <f t="shared" si="3"/>
        <v>72.84986514833683</v>
      </c>
    </row>
    <row r="59" spans="1:8" ht="15" customHeight="1">
      <c r="A59" s="70" t="s">
        <v>41</v>
      </c>
      <c r="B59" s="71">
        <v>14657</v>
      </c>
      <c r="C59" s="71">
        <v>26803</v>
      </c>
      <c r="D59" s="71">
        <v>11436</v>
      </c>
      <c r="E59" s="40">
        <f t="shared" si="0"/>
        <v>-3221</v>
      </c>
      <c r="F59" s="40">
        <f t="shared" si="1"/>
        <v>-15367</v>
      </c>
      <c r="G59" s="41">
        <f>+D59/B59*100</f>
        <v>78.024152282186</v>
      </c>
      <c r="H59" s="41">
        <f t="shared" si="3"/>
        <v>42.66686564936761</v>
      </c>
    </row>
    <row r="60" spans="1:8" ht="15" customHeight="1">
      <c r="A60" s="72" t="s">
        <v>42</v>
      </c>
      <c r="B60" s="73">
        <f>+B58+B59</f>
        <v>22528</v>
      </c>
      <c r="C60" s="73">
        <v>33477</v>
      </c>
      <c r="D60" s="73">
        <f>+D58+D59</f>
        <v>16298</v>
      </c>
      <c r="E60" s="73">
        <f t="shared" si="0"/>
        <v>-6230</v>
      </c>
      <c r="F60" s="73">
        <f t="shared" si="1"/>
        <v>-17179</v>
      </c>
      <c r="G60" s="50">
        <f>+D60/B60*100</f>
        <v>72.34552556818183</v>
      </c>
      <c r="H60" s="50">
        <f>+D60/C60*100</f>
        <v>48.684171222033044</v>
      </c>
    </row>
    <row r="61" spans="1:8" ht="18" customHeight="1">
      <c r="A61" s="52" t="s">
        <v>43</v>
      </c>
      <c r="B61" s="52"/>
      <c r="C61" s="52"/>
      <c r="D61" s="52"/>
      <c r="E61" s="40"/>
      <c r="F61" s="40"/>
      <c r="G61" s="66"/>
      <c r="H61" s="67"/>
    </row>
    <row r="62" spans="1:8" ht="14.25" customHeight="1">
      <c r="A62" s="74" t="s">
        <v>44</v>
      </c>
      <c r="B62" s="55">
        <v>171896</v>
      </c>
      <c r="C62" s="55">
        <v>175827</v>
      </c>
      <c r="D62" s="55">
        <v>174407</v>
      </c>
      <c r="E62" s="40">
        <f t="shared" si="0"/>
        <v>2511</v>
      </c>
      <c r="F62" s="40">
        <f t="shared" si="1"/>
        <v>-1420</v>
      </c>
      <c r="G62" s="41">
        <f>+D62/B62*100</f>
        <v>101.46076697538047</v>
      </c>
      <c r="H62" s="41">
        <f t="shared" si="3"/>
        <v>99.1923879722682</v>
      </c>
    </row>
    <row r="63" spans="1:8" ht="15" customHeight="1">
      <c r="A63" s="74" t="s">
        <v>45</v>
      </c>
      <c r="B63" s="55">
        <v>0</v>
      </c>
      <c r="C63" s="55">
        <v>-201</v>
      </c>
      <c r="D63" s="55">
        <v>-265</v>
      </c>
      <c r="E63" s="40">
        <f t="shared" si="0"/>
        <v>-265</v>
      </c>
      <c r="F63" s="40">
        <f t="shared" si="1"/>
        <v>-64</v>
      </c>
      <c r="G63" s="41">
        <v>0</v>
      </c>
      <c r="H63" s="41">
        <f t="shared" si="3"/>
        <v>131.8407960199005</v>
      </c>
    </row>
    <row r="64" spans="1:8" ht="15" customHeight="1">
      <c r="A64" s="74" t="s">
        <v>46</v>
      </c>
      <c r="B64" s="55">
        <v>0</v>
      </c>
      <c r="C64" s="55">
        <v>147</v>
      </c>
      <c r="D64" s="55">
        <v>166</v>
      </c>
      <c r="E64" s="40">
        <f t="shared" si="0"/>
        <v>166</v>
      </c>
      <c r="F64" s="40">
        <f t="shared" si="1"/>
        <v>19</v>
      </c>
      <c r="G64" s="41">
        <v>0</v>
      </c>
      <c r="H64" s="41">
        <f t="shared" si="3"/>
        <v>112.9251700680272</v>
      </c>
    </row>
    <row r="65" spans="1:8" ht="17.25" customHeight="1">
      <c r="A65" s="75" t="s">
        <v>24</v>
      </c>
      <c r="B65" s="57">
        <f>SUM(B62:B64)</f>
        <v>171896</v>
      </c>
      <c r="C65" s="57">
        <v>175773</v>
      </c>
      <c r="D65" s="57">
        <f>SUM(D62:D64)</f>
        <v>174308</v>
      </c>
      <c r="E65" s="49">
        <f t="shared" si="0"/>
        <v>2412</v>
      </c>
      <c r="F65" s="49">
        <f t="shared" si="1"/>
        <v>-1465</v>
      </c>
      <c r="G65" s="50">
        <f>+D65/B65*100</f>
        <v>101.4031740121934</v>
      </c>
      <c r="H65" s="50">
        <f>+D65/C65*100</f>
        <v>99.16653866065892</v>
      </c>
    </row>
    <row r="67" ht="15" customHeight="1">
      <c r="D67" s="76"/>
    </row>
    <row r="68" ht="15" customHeight="1">
      <c r="A68" s="12"/>
    </row>
    <row r="69" ht="15" customHeight="1">
      <c r="A69" s="12"/>
    </row>
  </sheetData>
  <sheetProtection/>
  <printOptions horizontalCentered="1"/>
  <pageMargins left="0.5511811023622047" right="0.5905511811023623" top="0.4330708661417323" bottom="0.5118110236220472" header="0.5118110236220472" footer="0.5118110236220472"/>
  <pageSetup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R25"/>
  <sheetViews>
    <sheetView zoomScalePageLayoutView="0" workbookViewId="0" topLeftCell="A1">
      <selection activeCell="D7" sqref="D7"/>
    </sheetView>
  </sheetViews>
  <sheetFormatPr defaultColWidth="7.8515625" defaultRowHeight="12.75"/>
  <cols>
    <col min="1" max="1" width="44.57421875" style="17" customWidth="1"/>
    <col min="2" max="13" width="12.28125" style="17" customWidth="1"/>
    <col min="14" max="14" width="12.8515625" style="17" customWidth="1"/>
    <col min="15" max="15" width="13.421875" style="17" customWidth="1"/>
    <col min="16" max="16" width="11.28125" style="17" customWidth="1"/>
    <col min="17" max="16384" width="7.8515625" style="17" customWidth="1"/>
  </cols>
  <sheetData>
    <row r="6" ht="19.5" customHeight="1">
      <c r="A6" s="17" t="s">
        <v>85</v>
      </c>
    </row>
    <row r="7" ht="15">
      <c r="N7" s="18" t="s">
        <v>3</v>
      </c>
    </row>
    <row r="8" spans="1:14" ht="44.25" customHeight="1">
      <c r="A8" s="19" t="s">
        <v>1</v>
      </c>
      <c r="B8" s="20" t="s">
        <v>71</v>
      </c>
      <c r="C8" s="20" t="s">
        <v>72</v>
      </c>
      <c r="D8" s="20" t="s">
        <v>89</v>
      </c>
      <c r="E8" s="20" t="s">
        <v>90</v>
      </c>
      <c r="F8" s="20" t="s">
        <v>91</v>
      </c>
      <c r="G8" s="20" t="s">
        <v>92</v>
      </c>
      <c r="H8" s="20" t="s">
        <v>94</v>
      </c>
      <c r="I8" s="20" t="s">
        <v>95</v>
      </c>
      <c r="J8" s="20" t="s">
        <v>96</v>
      </c>
      <c r="K8" s="20" t="s">
        <v>97</v>
      </c>
      <c r="L8" s="20" t="s">
        <v>98</v>
      </c>
      <c r="M8" s="20" t="s">
        <v>152</v>
      </c>
      <c r="N8" s="81" t="s">
        <v>159</v>
      </c>
    </row>
    <row r="9" spans="1:16" ht="22.5" customHeight="1">
      <c r="A9" s="21" t="s">
        <v>47</v>
      </c>
      <c r="B9" s="22">
        <f>+B11+B12+B13+B15+B16+B17+B18</f>
        <v>545398</v>
      </c>
      <c r="C9" s="22">
        <f aca="true" t="shared" si="0" ref="C9:L9">+C11+C12+C13+C15+C16+C17+C18</f>
        <v>558932</v>
      </c>
      <c r="D9" s="22">
        <f t="shared" si="0"/>
        <v>558253</v>
      </c>
      <c r="E9" s="22">
        <f t="shared" si="0"/>
        <v>566365</v>
      </c>
      <c r="F9" s="22">
        <f t="shared" si="0"/>
        <v>550065</v>
      </c>
      <c r="G9" s="22">
        <f t="shared" si="0"/>
        <v>511791</v>
      </c>
      <c r="H9" s="22">
        <f t="shared" si="0"/>
        <v>551470</v>
      </c>
      <c r="I9" s="22">
        <f t="shared" si="0"/>
        <v>584302</v>
      </c>
      <c r="J9" s="22">
        <f t="shared" si="0"/>
        <v>512874</v>
      </c>
      <c r="K9" s="22">
        <f t="shared" si="0"/>
        <v>638652</v>
      </c>
      <c r="L9" s="22">
        <f t="shared" si="0"/>
        <v>509022</v>
      </c>
      <c r="M9" s="22">
        <f>+M11+M12+M13+M15+M16+M17+M18</f>
        <v>566143</v>
      </c>
      <c r="N9" s="22">
        <f>+N11+N12+N13+N15+N16+N17+N18</f>
        <v>6653267</v>
      </c>
      <c r="P9" s="23"/>
    </row>
    <row r="10" spans="1:16" ht="22.5" customHeight="1">
      <c r="A10" s="21" t="s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P10" s="23"/>
    </row>
    <row r="11" spans="1:16" ht="22.5" customHeight="1">
      <c r="A11" s="21" t="s">
        <v>48</v>
      </c>
      <c r="B11" s="22">
        <v>37511</v>
      </c>
      <c r="C11" s="22">
        <v>38233</v>
      </c>
      <c r="D11" s="22">
        <v>37459</v>
      </c>
      <c r="E11" s="22">
        <v>38246</v>
      </c>
      <c r="F11" s="22">
        <v>33533</v>
      </c>
      <c r="G11" s="22">
        <v>32425</v>
      </c>
      <c r="H11" s="22">
        <v>30458</v>
      </c>
      <c r="I11" s="22">
        <v>30799</v>
      </c>
      <c r="J11" s="22">
        <v>30112</v>
      </c>
      <c r="K11" s="22">
        <v>29109</v>
      </c>
      <c r="L11" s="22">
        <v>31343</v>
      </c>
      <c r="M11" s="22">
        <v>30206</v>
      </c>
      <c r="N11" s="22">
        <f>SUM(B11:M11)</f>
        <v>399434</v>
      </c>
      <c r="O11" s="23"/>
      <c r="P11" s="23"/>
    </row>
    <row r="12" spans="1:16" ht="22.5" customHeight="1">
      <c r="A12" s="83" t="s">
        <v>49</v>
      </c>
      <c r="B12" s="84">
        <v>402923</v>
      </c>
      <c r="C12" s="84">
        <v>417272</v>
      </c>
      <c r="D12" s="84">
        <v>416431</v>
      </c>
      <c r="E12" s="84">
        <v>421548</v>
      </c>
      <c r="F12" s="84">
        <v>413187</v>
      </c>
      <c r="G12" s="84">
        <v>382191</v>
      </c>
      <c r="H12" s="84">
        <v>414859</v>
      </c>
      <c r="I12" s="84">
        <v>446348</v>
      </c>
      <c r="J12" s="84">
        <v>387022</v>
      </c>
      <c r="K12" s="84">
        <v>493808</v>
      </c>
      <c r="L12" s="84">
        <v>378114</v>
      </c>
      <c r="M12" s="84">
        <v>419038</v>
      </c>
      <c r="N12" s="84">
        <f>SUM(B12:M12)</f>
        <v>4992741</v>
      </c>
      <c r="P12" s="23"/>
    </row>
    <row r="13" spans="1:16" ht="22.5" customHeight="1">
      <c r="A13" s="85" t="s">
        <v>50</v>
      </c>
      <c r="B13" s="86">
        <v>72875</v>
      </c>
      <c r="C13" s="86">
        <v>76254</v>
      </c>
      <c r="D13" s="86">
        <v>75794</v>
      </c>
      <c r="E13" s="86">
        <v>76843</v>
      </c>
      <c r="F13" s="86">
        <v>75386</v>
      </c>
      <c r="G13" s="86">
        <v>69287</v>
      </c>
      <c r="H13" s="86">
        <v>74831</v>
      </c>
      <c r="I13" s="86">
        <v>80057</v>
      </c>
      <c r="J13" s="86">
        <v>69000</v>
      </c>
      <c r="K13" s="86">
        <v>88709</v>
      </c>
      <c r="L13" s="86">
        <v>67531</v>
      </c>
      <c r="M13" s="86">
        <v>74887</v>
      </c>
      <c r="N13" s="86">
        <f aca="true" t="shared" si="1" ref="N13:N20">SUM(B13:M13)</f>
        <v>901454</v>
      </c>
      <c r="O13" s="23"/>
      <c r="P13" s="23"/>
    </row>
    <row r="14" spans="1:16" ht="22.5" customHeight="1">
      <c r="A14" s="88" t="s">
        <v>93</v>
      </c>
      <c r="B14" s="87">
        <f>+B12+B13</f>
        <v>475798</v>
      </c>
      <c r="C14" s="87">
        <f>+C12+C13</f>
        <v>493526</v>
      </c>
      <c r="D14" s="87">
        <f>+D12+D13</f>
        <v>492225</v>
      </c>
      <c r="E14" s="87">
        <f>+E12+E13</f>
        <v>498391</v>
      </c>
      <c r="F14" s="87">
        <f>+F12+F13</f>
        <v>488573</v>
      </c>
      <c r="G14" s="87">
        <v>451478</v>
      </c>
      <c r="H14" s="87">
        <v>489690</v>
      </c>
      <c r="I14" s="87">
        <v>526405</v>
      </c>
      <c r="J14" s="87">
        <v>456022</v>
      </c>
      <c r="K14" s="87">
        <v>582517</v>
      </c>
      <c r="L14" s="87">
        <f>+L12+L13</f>
        <v>445645</v>
      </c>
      <c r="M14" s="87">
        <v>493925</v>
      </c>
      <c r="N14" s="87">
        <f t="shared" si="1"/>
        <v>5894195</v>
      </c>
      <c r="O14" s="23"/>
      <c r="P14" s="23"/>
    </row>
    <row r="15" spans="1:16" ht="22.5" customHeight="1">
      <c r="A15" s="21" t="s">
        <v>51</v>
      </c>
      <c r="B15" s="22">
        <v>3771</v>
      </c>
      <c r="C15" s="22">
        <v>3316</v>
      </c>
      <c r="D15" s="22">
        <v>3497</v>
      </c>
      <c r="E15" s="22">
        <v>3855</v>
      </c>
      <c r="F15" s="22">
        <v>3955</v>
      </c>
      <c r="G15" s="22">
        <v>3647</v>
      </c>
      <c r="H15" s="22">
        <v>3989</v>
      </c>
      <c r="I15" s="22">
        <v>3457</v>
      </c>
      <c r="J15" s="22">
        <v>3699</v>
      </c>
      <c r="K15" s="22">
        <v>3726</v>
      </c>
      <c r="L15" s="22">
        <v>3911</v>
      </c>
      <c r="M15" s="22">
        <v>3457</v>
      </c>
      <c r="N15" s="22">
        <f t="shared" si="1"/>
        <v>44280</v>
      </c>
      <c r="O15" s="23"/>
      <c r="P15" s="23"/>
    </row>
    <row r="16" spans="1:16" ht="22.5" customHeight="1">
      <c r="A16" s="21" t="s">
        <v>52</v>
      </c>
      <c r="B16" s="22">
        <v>1103</v>
      </c>
      <c r="C16" s="22">
        <v>1226</v>
      </c>
      <c r="D16" s="22">
        <v>1817</v>
      </c>
      <c r="E16" s="22">
        <v>1338</v>
      </c>
      <c r="F16" s="22">
        <v>723</v>
      </c>
      <c r="G16" s="22">
        <v>1970</v>
      </c>
      <c r="H16" s="22">
        <v>1666</v>
      </c>
      <c r="I16" s="22">
        <v>1443</v>
      </c>
      <c r="J16" s="22">
        <v>713</v>
      </c>
      <c r="K16" s="22">
        <v>880</v>
      </c>
      <c r="L16" s="22">
        <v>1631</v>
      </c>
      <c r="M16" s="22">
        <v>1788</v>
      </c>
      <c r="N16" s="22">
        <f t="shared" si="1"/>
        <v>16298</v>
      </c>
      <c r="O16" s="23"/>
      <c r="P16" s="23"/>
    </row>
    <row r="17" spans="1:16" ht="22.5" customHeight="1">
      <c r="A17" s="21" t="s">
        <v>53</v>
      </c>
      <c r="B17" s="22">
        <v>15642</v>
      </c>
      <c r="C17" s="22">
        <v>17402</v>
      </c>
      <c r="D17" s="22">
        <v>15554</v>
      </c>
      <c r="E17" s="22">
        <v>15896</v>
      </c>
      <c r="F17" s="22">
        <v>14625</v>
      </c>
      <c r="G17" s="22">
        <v>14344</v>
      </c>
      <c r="H17" s="22">
        <v>13179</v>
      </c>
      <c r="I17" s="22">
        <v>13491</v>
      </c>
      <c r="J17" s="22">
        <v>13945</v>
      </c>
      <c r="K17" s="22">
        <v>13280</v>
      </c>
      <c r="L17" s="22">
        <v>13638</v>
      </c>
      <c r="M17" s="22">
        <v>13312</v>
      </c>
      <c r="N17" s="22">
        <f t="shared" si="1"/>
        <v>174308</v>
      </c>
      <c r="O17" s="23"/>
      <c r="P17" s="23"/>
    </row>
    <row r="18" spans="1:17" ht="22.5" customHeight="1">
      <c r="A18" s="83" t="s">
        <v>54</v>
      </c>
      <c r="B18" s="84">
        <f>+B19+B20</f>
        <v>11573</v>
      </c>
      <c r="C18" s="84">
        <v>5229</v>
      </c>
      <c r="D18" s="84">
        <f>+D19+D20</f>
        <v>7701</v>
      </c>
      <c r="E18" s="84">
        <v>8639</v>
      </c>
      <c r="F18" s="84">
        <v>8656</v>
      </c>
      <c r="G18" s="84">
        <v>7927</v>
      </c>
      <c r="H18" s="84">
        <v>12488</v>
      </c>
      <c r="I18" s="84">
        <v>8707</v>
      </c>
      <c r="J18" s="84">
        <v>8383</v>
      </c>
      <c r="K18" s="84">
        <v>9140</v>
      </c>
      <c r="L18" s="84">
        <f>+L19+L20</f>
        <v>12854</v>
      </c>
      <c r="M18" s="84">
        <v>23455</v>
      </c>
      <c r="N18" s="84">
        <f t="shared" si="1"/>
        <v>124752</v>
      </c>
      <c r="O18" s="23"/>
      <c r="P18" s="23"/>
      <c r="Q18" s="23"/>
    </row>
    <row r="19" spans="1:18" ht="22.5" customHeight="1">
      <c r="A19" s="85" t="s">
        <v>55</v>
      </c>
      <c r="B19" s="86">
        <v>0</v>
      </c>
      <c r="C19" s="86">
        <v>58</v>
      </c>
      <c r="D19" s="86">
        <v>95</v>
      </c>
      <c r="E19" s="86">
        <v>70</v>
      </c>
      <c r="F19" s="86">
        <v>3</v>
      </c>
      <c r="G19" s="86">
        <v>35</v>
      </c>
      <c r="H19" s="86">
        <v>2997</v>
      </c>
      <c r="I19" s="86">
        <v>29</v>
      </c>
      <c r="J19" s="86">
        <v>264</v>
      </c>
      <c r="K19" s="86">
        <v>65</v>
      </c>
      <c r="L19" s="86">
        <v>1223</v>
      </c>
      <c r="M19" s="86">
        <v>3130</v>
      </c>
      <c r="N19" s="247">
        <f t="shared" si="1"/>
        <v>7969</v>
      </c>
      <c r="O19" s="23"/>
      <c r="P19" s="23"/>
      <c r="Q19" s="23"/>
      <c r="R19" s="23"/>
    </row>
    <row r="20" spans="1:17" ht="22.5" customHeight="1">
      <c r="A20" s="89" t="s">
        <v>56</v>
      </c>
      <c r="B20" s="87">
        <v>11573</v>
      </c>
      <c r="C20" s="87">
        <v>5171</v>
      </c>
      <c r="D20" s="87">
        <v>7606</v>
      </c>
      <c r="E20" s="87">
        <v>8569</v>
      </c>
      <c r="F20" s="87">
        <v>8653</v>
      </c>
      <c r="G20" s="87">
        <v>7892</v>
      </c>
      <c r="H20" s="87">
        <v>9491</v>
      </c>
      <c r="I20" s="87">
        <v>8678</v>
      </c>
      <c r="J20" s="87">
        <v>8119</v>
      </c>
      <c r="K20" s="87">
        <v>9075</v>
      </c>
      <c r="L20" s="87">
        <v>11631</v>
      </c>
      <c r="M20" s="87">
        <v>20325</v>
      </c>
      <c r="N20" s="87">
        <f t="shared" si="1"/>
        <v>116783</v>
      </c>
      <c r="O20" s="23"/>
      <c r="P20" s="23"/>
      <c r="Q20" s="23"/>
    </row>
    <row r="21" spans="13:16" ht="15.75" customHeight="1">
      <c r="M21" s="23"/>
      <c r="N21" s="23"/>
      <c r="O21" s="23"/>
      <c r="P21" s="23"/>
    </row>
    <row r="22" ht="15.75" customHeight="1">
      <c r="N22" s="23"/>
    </row>
    <row r="23" ht="15.75" customHeight="1">
      <c r="A23" s="24"/>
    </row>
    <row r="24" ht="15.75" customHeight="1">
      <c r="A24" s="24"/>
    </row>
    <row r="25" ht="15.75" customHeight="1">
      <c r="A25" s="25"/>
    </row>
    <row r="26" ht="15.75" customHeight="1"/>
    <row r="27" ht="15.75" customHeight="1"/>
  </sheetData>
  <sheetProtection/>
  <printOptions horizontalCentered="1"/>
  <pageMargins left="0.5511811023622047" right="0.5905511811023623" top="0.4330708661417323" bottom="0.5118110236220472" header="0.5118110236220472" footer="0.5118110236220472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8.421875" style="93" customWidth="1"/>
    <col min="2" max="2" width="14.28125" style="166" customWidth="1"/>
    <col min="3" max="3" width="13.7109375" style="93" customWidth="1"/>
    <col min="4" max="4" width="9.8515625" style="93" customWidth="1"/>
    <col min="5" max="5" width="9.57421875" style="93" customWidth="1"/>
    <col min="6" max="16384" width="9.140625" style="93" customWidth="1"/>
  </cols>
  <sheetData>
    <row r="1" spans="1:5" ht="13.5">
      <c r="A1" s="165"/>
      <c r="E1" s="94"/>
    </row>
    <row r="4" ht="13.5">
      <c r="A4" s="167" t="s">
        <v>167</v>
      </c>
    </row>
    <row r="5" ht="13.5">
      <c r="A5" s="167"/>
    </row>
    <row r="6" ht="13.5">
      <c r="A6" s="167"/>
    </row>
    <row r="7" spans="1:5" ht="13.5">
      <c r="A7" s="93" t="s">
        <v>168</v>
      </c>
      <c r="E7" s="94" t="s">
        <v>3</v>
      </c>
    </row>
    <row r="8" spans="1:5" ht="54" customHeight="1">
      <c r="A8" s="168" t="s">
        <v>1</v>
      </c>
      <c r="B8" s="169" t="s">
        <v>84</v>
      </c>
      <c r="C8" s="170" t="s">
        <v>200</v>
      </c>
      <c r="D8" s="169" t="s">
        <v>169</v>
      </c>
      <c r="E8" s="169" t="s">
        <v>170</v>
      </c>
    </row>
    <row r="9" spans="1:5" s="174" customFormat="1" ht="14.25" customHeight="1">
      <c r="A9" s="168" t="s">
        <v>0</v>
      </c>
      <c r="B9" s="169" t="s">
        <v>171</v>
      </c>
      <c r="C9" s="171">
        <v>2</v>
      </c>
      <c r="D9" s="172">
        <v>3</v>
      </c>
      <c r="E9" s="173">
        <v>4</v>
      </c>
    </row>
    <row r="10" spans="1:6" ht="18.75" customHeight="1">
      <c r="A10" s="175" t="s">
        <v>172</v>
      </c>
      <c r="B10" s="176">
        <v>121268</v>
      </c>
      <c r="C10" s="177">
        <v>121268</v>
      </c>
      <c r="D10" s="176">
        <v>0</v>
      </c>
      <c r="E10" s="178">
        <v>100</v>
      </c>
      <c r="F10" s="111"/>
    </row>
    <row r="11" spans="1:6" ht="12.75" customHeight="1">
      <c r="A11" s="179"/>
      <c r="B11" s="180"/>
      <c r="C11" s="181"/>
      <c r="D11" s="180"/>
      <c r="E11" s="182"/>
      <c r="F11" s="111"/>
    </row>
    <row r="12" spans="1:6" ht="17.25" customHeight="1">
      <c r="A12" s="179" t="s">
        <v>173</v>
      </c>
      <c r="B12" s="180">
        <v>121268</v>
      </c>
      <c r="C12" s="180">
        <v>119624</v>
      </c>
      <c r="D12" s="180">
        <v>-1644</v>
      </c>
      <c r="E12" s="182">
        <v>98.6443249661906</v>
      </c>
      <c r="F12" s="111"/>
    </row>
    <row r="13" spans="1:6" ht="12.75" customHeight="1">
      <c r="A13" s="179" t="s">
        <v>2</v>
      </c>
      <c r="B13" s="180"/>
      <c r="C13" s="183"/>
      <c r="D13" s="180"/>
      <c r="E13" s="182"/>
      <c r="F13" s="111"/>
    </row>
    <row r="14" spans="1:6" ht="18.75" customHeight="1">
      <c r="A14" s="179" t="s">
        <v>174</v>
      </c>
      <c r="B14" s="180">
        <v>295</v>
      </c>
      <c r="C14" s="184">
        <v>238</v>
      </c>
      <c r="D14" s="180">
        <v>-57</v>
      </c>
      <c r="E14" s="182">
        <v>80.67796610169492</v>
      </c>
      <c r="F14" s="111"/>
    </row>
    <row r="15" spans="1:6" ht="18.75" customHeight="1">
      <c r="A15" s="179" t="s">
        <v>175</v>
      </c>
      <c r="B15" s="180">
        <v>5800</v>
      </c>
      <c r="C15" s="184">
        <v>5867</v>
      </c>
      <c r="D15" s="180">
        <v>67</v>
      </c>
      <c r="E15" s="182">
        <v>101.15517241379311</v>
      </c>
      <c r="F15" s="111"/>
    </row>
    <row r="16" spans="1:6" ht="18.75" customHeight="1">
      <c r="A16" s="179" t="s">
        <v>176</v>
      </c>
      <c r="B16" s="180">
        <v>114</v>
      </c>
      <c r="C16" s="184">
        <v>84</v>
      </c>
      <c r="D16" s="180">
        <v>-30</v>
      </c>
      <c r="E16" s="182">
        <v>73.68421052631578</v>
      </c>
      <c r="F16" s="111"/>
    </row>
    <row r="17" spans="1:6" ht="18.75" customHeight="1">
      <c r="A17" s="179" t="s">
        <v>177</v>
      </c>
      <c r="B17" s="180">
        <v>5142</v>
      </c>
      <c r="C17" s="184">
        <v>4958</v>
      </c>
      <c r="D17" s="180">
        <v>-184</v>
      </c>
      <c r="E17" s="182">
        <v>96.42162582652665</v>
      </c>
      <c r="F17" s="111"/>
    </row>
    <row r="18" spans="1:6" ht="18.75" customHeight="1">
      <c r="A18" s="185" t="s">
        <v>178</v>
      </c>
      <c r="B18" s="180">
        <v>8168</v>
      </c>
      <c r="C18" s="184">
        <v>7359</v>
      </c>
      <c r="D18" s="180">
        <v>-809</v>
      </c>
      <c r="E18" s="182">
        <v>90.09549461312439</v>
      </c>
      <c r="F18" s="111"/>
    </row>
    <row r="19" spans="1:6" ht="18.75" customHeight="1">
      <c r="A19" s="179" t="s">
        <v>179</v>
      </c>
      <c r="B19" s="180">
        <v>0</v>
      </c>
      <c r="C19" s="184">
        <v>0</v>
      </c>
      <c r="D19" s="180">
        <v>0</v>
      </c>
      <c r="E19" s="186" t="s">
        <v>180</v>
      </c>
      <c r="F19" s="111"/>
    </row>
    <row r="20" spans="1:6" ht="27" customHeight="1">
      <c r="A20" s="187" t="s">
        <v>181</v>
      </c>
      <c r="B20" s="180">
        <v>405.22264747947463</v>
      </c>
      <c r="C20" s="184">
        <v>359</v>
      </c>
      <c r="D20" s="180">
        <v>-46.22264747947463</v>
      </c>
      <c r="E20" s="182">
        <v>88.59327143559618</v>
      </c>
      <c r="F20" s="188"/>
    </row>
    <row r="21" spans="1:6" ht="41.25" customHeight="1">
      <c r="A21" s="187" t="s">
        <v>182</v>
      </c>
      <c r="B21" s="180">
        <v>42.40168881556129</v>
      </c>
      <c r="C21" s="184">
        <v>75</v>
      </c>
      <c r="D21" s="180">
        <v>32.59831118443871</v>
      </c>
      <c r="E21" s="182">
        <v>176.87974723420737</v>
      </c>
      <c r="F21" s="111"/>
    </row>
    <row r="22" spans="1:6" ht="28.5" customHeight="1">
      <c r="A22" s="187" t="s">
        <v>183</v>
      </c>
      <c r="B22" s="180">
        <v>2.3756637049641376</v>
      </c>
      <c r="C22" s="184">
        <v>3</v>
      </c>
      <c r="D22" s="180">
        <v>0.6243362950358624</v>
      </c>
      <c r="E22" s="182">
        <v>126.28049979175344</v>
      </c>
      <c r="F22" s="111"/>
    </row>
    <row r="23" spans="1:6" ht="18.75" customHeight="1">
      <c r="A23" s="179" t="s">
        <v>184</v>
      </c>
      <c r="B23" s="180">
        <v>380</v>
      </c>
      <c r="C23" s="184">
        <v>366</v>
      </c>
      <c r="D23" s="180">
        <v>-14</v>
      </c>
      <c r="E23" s="182">
        <v>96.3157894736842</v>
      </c>
      <c r="F23" s="111"/>
    </row>
    <row r="24" spans="1:6" ht="18.75" customHeight="1">
      <c r="A24" s="179" t="s">
        <v>185</v>
      </c>
      <c r="B24" s="180">
        <v>0</v>
      </c>
      <c r="C24" s="184">
        <v>10</v>
      </c>
      <c r="D24" s="180">
        <v>10</v>
      </c>
      <c r="E24" s="186" t="s">
        <v>180</v>
      </c>
      <c r="F24" s="111"/>
    </row>
    <row r="25" spans="1:6" ht="18.75" customHeight="1">
      <c r="A25" s="189" t="s">
        <v>186</v>
      </c>
      <c r="B25" s="180">
        <v>72117</v>
      </c>
      <c r="C25" s="184">
        <v>70523</v>
      </c>
      <c r="D25" s="180">
        <v>-1594</v>
      </c>
      <c r="E25" s="182">
        <v>97.78970284398963</v>
      </c>
      <c r="F25" s="111"/>
    </row>
    <row r="26" spans="1:6" ht="31.5" customHeight="1">
      <c r="A26" s="189" t="s">
        <v>187</v>
      </c>
      <c r="B26" s="180">
        <v>3091</v>
      </c>
      <c r="C26" s="184">
        <v>2772</v>
      </c>
      <c r="D26" s="180">
        <v>-319</v>
      </c>
      <c r="E26" s="182">
        <v>89.6797153024911</v>
      </c>
      <c r="F26" s="111"/>
    </row>
    <row r="27" spans="1:6" ht="27.75" customHeight="1">
      <c r="A27" s="189" t="s">
        <v>188</v>
      </c>
      <c r="B27" s="180">
        <v>0</v>
      </c>
      <c r="C27" s="184">
        <v>9</v>
      </c>
      <c r="D27" s="180">
        <v>9</v>
      </c>
      <c r="E27" s="186" t="s">
        <v>180</v>
      </c>
      <c r="F27" s="111"/>
    </row>
    <row r="28" spans="1:5" ht="18.75" customHeight="1">
      <c r="A28" s="179" t="s">
        <v>189</v>
      </c>
      <c r="B28" s="180">
        <v>25711</v>
      </c>
      <c r="C28" s="184">
        <v>27001</v>
      </c>
      <c r="D28" s="180">
        <v>1290</v>
      </c>
      <c r="E28" s="182">
        <v>105.01730776710359</v>
      </c>
    </row>
    <row r="29" spans="1:5" ht="23.25" customHeight="1">
      <c r="A29" s="211" t="s">
        <v>190</v>
      </c>
      <c r="B29" s="212" t="s">
        <v>191</v>
      </c>
      <c r="C29" s="214">
        <v>1644</v>
      </c>
      <c r="D29" s="213" t="s">
        <v>191</v>
      </c>
      <c r="E29" s="213" t="s">
        <v>191</v>
      </c>
    </row>
    <row r="30" spans="1:5" ht="12.75" customHeight="1" hidden="1">
      <c r="A30" s="108" t="s">
        <v>192</v>
      </c>
      <c r="B30" s="195"/>
      <c r="C30" s="196">
        <v>72117</v>
      </c>
      <c r="D30" s="197"/>
      <c r="E30" s="198"/>
    </row>
    <row r="31" spans="1:5" ht="12.75" customHeight="1" hidden="1">
      <c r="A31" s="194" t="s">
        <v>193</v>
      </c>
      <c r="B31" s="195"/>
      <c r="C31" s="196">
        <v>70523</v>
      </c>
      <c r="D31" s="197"/>
      <c r="E31" s="198"/>
    </row>
    <row r="32" spans="1:5" ht="12.75" customHeight="1" hidden="1">
      <c r="A32" s="199" t="s">
        <v>194</v>
      </c>
      <c r="B32" s="200"/>
      <c r="C32" s="201">
        <v>1594</v>
      </c>
      <c r="D32" s="202"/>
      <c r="E32" s="203"/>
    </row>
    <row r="33" spans="1:5" ht="12.75" customHeight="1" hidden="1">
      <c r="A33" s="102" t="s">
        <v>195</v>
      </c>
      <c r="B33" s="190"/>
      <c r="C33" s="191">
        <v>49151</v>
      </c>
      <c r="D33" s="192"/>
      <c r="E33" s="193"/>
    </row>
    <row r="34" spans="1:7" ht="12.75" customHeight="1" hidden="1">
      <c r="A34" s="194" t="s">
        <v>193</v>
      </c>
      <c r="B34" s="195"/>
      <c r="C34" s="196">
        <v>49101</v>
      </c>
      <c r="D34" s="197"/>
      <c r="E34" s="198"/>
      <c r="G34" s="204"/>
    </row>
    <row r="35" spans="1:5" ht="12.75" customHeight="1" hidden="1">
      <c r="A35" s="199" t="s">
        <v>194</v>
      </c>
      <c r="B35" s="200"/>
      <c r="C35" s="201">
        <v>50</v>
      </c>
      <c r="D35" s="202"/>
      <c r="E35" s="203"/>
    </row>
    <row r="36" spans="1:5" ht="12" customHeight="1">
      <c r="A36" s="111"/>
      <c r="B36" s="195"/>
      <c r="C36" s="188"/>
      <c r="D36" s="197"/>
      <c r="E36" s="197"/>
    </row>
    <row r="37" ht="12" customHeight="1">
      <c r="A37" s="77" t="s">
        <v>201</v>
      </c>
    </row>
    <row r="38" ht="12" customHeight="1">
      <c r="A38" s="77" t="s">
        <v>202</v>
      </c>
    </row>
    <row r="39" ht="12" customHeight="1">
      <c r="A39" s="205" t="s">
        <v>203</v>
      </c>
    </row>
    <row r="40" ht="12" customHeight="1">
      <c r="A40" s="205" t="s">
        <v>204</v>
      </c>
    </row>
    <row r="41" ht="12" customHeight="1">
      <c r="A41" s="205" t="s">
        <v>205</v>
      </c>
    </row>
    <row r="42" ht="12" customHeight="1">
      <c r="A42" s="205"/>
    </row>
    <row r="43" spans="1:3" ht="12" customHeight="1">
      <c r="A43" s="205"/>
      <c r="C43" s="204"/>
    </row>
    <row r="45" spans="1:2" ht="13.5">
      <c r="A45" s="93" t="s">
        <v>196</v>
      </c>
      <c r="B45" s="94" t="s">
        <v>3</v>
      </c>
    </row>
    <row r="46" spans="1:2" ht="45.75" customHeight="1">
      <c r="A46" s="168" t="s">
        <v>1</v>
      </c>
      <c r="B46" s="170" t="s">
        <v>206</v>
      </c>
    </row>
    <row r="47" spans="1:2" s="174" customFormat="1" ht="14.25" customHeight="1">
      <c r="A47" s="206" t="s">
        <v>0</v>
      </c>
      <c r="B47" s="173">
        <v>1</v>
      </c>
    </row>
    <row r="48" spans="1:2" ht="41.25" customHeight="1">
      <c r="A48" s="207" t="s">
        <v>197</v>
      </c>
      <c r="B48" s="208">
        <v>1550</v>
      </c>
    </row>
    <row r="49" spans="1:3" ht="15" customHeight="1">
      <c r="A49" s="207" t="s">
        <v>198</v>
      </c>
      <c r="B49" s="208">
        <v>1424</v>
      </c>
      <c r="C49" s="209"/>
    </row>
    <row r="50" spans="1:3" ht="15" customHeight="1">
      <c r="A50" s="207" t="s">
        <v>199</v>
      </c>
      <c r="B50" s="210">
        <v>-126</v>
      </c>
      <c r="C50" s="209"/>
    </row>
    <row r="51" ht="13.5">
      <c r="C51" s="209"/>
    </row>
  </sheetData>
  <sheetProtection/>
  <printOptions horizontalCentered="1"/>
  <pageMargins left="0.5511811023622047" right="0.35433070866141736" top="0.4330708661417323" bottom="0.5118110236220472" header="0.5118110236220472" footer="0.5118110236220472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8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1" max="1" width="59.7109375" style="145" customWidth="1"/>
    <col min="2" max="2" width="19.7109375" style="145" customWidth="1"/>
    <col min="3" max="4" width="18.140625" style="145" customWidth="1"/>
    <col min="5" max="5" width="16.7109375" style="145" customWidth="1"/>
    <col min="6" max="6" width="15.7109375" style="145" customWidth="1"/>
    <col min="7" max="7" width="12.28125" style="145" customWidth="1"/>
    <col min="8" max="8" width="13.28125" style="145" customWidth="1"/>
    <col min="9" max="16384" width="9.140625" style="145" customWidth="1"/>
  </cols>
  <sheetData>
    <row r="3" ht="13.5">
      <c r="A3" s="93" t="s">
        <v>160</v>
      </c>
    </row>
    <row r="4" spans="2:6" ht="14.25" thickBot="1">
      <c r="B4" s="94"/>
      <c r="C4" s="94"/>
      <c r="D4" s="94"/>
      <c r="E4" s="93"/>
      <c r="F4" s="93"/>
    </row>
    <row r="5" spans="1:6" ht="14.25" thickBot="1">
      <c r="A5" s="152" t="s">
        <v>99</v>
      </c>
      <c r="B5" s="95" t="s">
        <v>100</v>
      </c>
      <c r="C5" s="153" t="s">
        <v>101</v>
      </c>
      <c r="D5" s="154"/>
      <c r="E5" s="154"/>
      <c r="F5" s="155"/>
    </row>
    <row r="6" spans="1:6" ht="27.75" thickBot="1">
      <c r="A6" s="96"/>
      <c r="B6" s="97" t="s">
        <v>102</v>
      </c>
      <c r="C6" s="98" t="s">
        <v>103</v>
      </c>
      <c r="D6" s="146" t="s">
        <v>104</v>
      </c>
      <c r="E6" s="147" t="s">
        <v>105</v>
      </c>
      <c r="F6" s="148" t="s">
        <v>4</v>
      </c>
    </row>
    <row r="7" spans="1:6" ht="14.25" thickBot="1">
      <c r="A7" s="99" t="s">
        <v>0</v>
      </c>
      <c r="B7" s="100">
        <v>1</v>
      </c>
      <c r="C7" s="100"/>
      <c r="D7" s="100">
        <v>3</v>
      </c>
      <c r="E7" s="100">
        <v>4</v>
      </c>
      <c r="F7" s="149">
        <v>5</v>
      </c>
    </row>
    <row r="8" spans="1:6" ht="13.5">
      <c r="A8" s="101"/>
      <c r="B8" s="102"/>
      <c r="C8" s="101"/>
      <c r="D8" s="101"/>
      <c r="E8" s="101"/>
      <c r="F8" s="150"/>
    </row>
    <row r="9" spans="1:6" ht="13.5">
      <c r="A9" s="103" t="s">
        <v>106</v>
      </c>
      <c r="B9" s="104" t="s">
        <v>107</v>
      </c>
      <c r="C9" s="105">
        <v>35242</v>
      </c>
      <c r="D9" s="105">
        <v>35242</v>
      </c>
      <c r="E9" s="105">
        <v>0</v>
      </c>
      <c r="F9" s="151">
        <v>35242</v>
      </c>
    </row>
    <row r="10" spans="1:6" ht="13.5">
      <c r="A10" s="103" t="s">
        <v>108</v>
      </c>
      <c r="B10" s="104" t="s">
        <v>109</v>
      </c>
      <c r="C10" s="105">
        <v>290209</v>
      </c>
      <c r="D10" s="105">
        <v>290209</v>
      </c>
      <c r="E10" s="105">
        <v>0</v>
      </c>
      <c r="F10" s="151">
        <v>290209</v>
      </c>
    </row>
    <row r="11" spans="1:6" ht="13.5">
      <c r="A11" s="103" t="s">
        <v>110</v>
      </c>
      <c r="B11" s="104" t="s">
        <v>111</v>
      </c>
      <c r="C11" s="105">
        <v>2548</v>
      </c>
      <c r="D11" s="105">
        <v>2548</v>
      </c>
      <c r="E11" s="105">
        <v>0</v>
      </c>
      <c r="F11" s="151">
        <v>2548</v>
      </c>
    </row>
    <row r="12" spans="1:6" ht="13.5">
      <c r="A12" s="103" t="s">
        <v>112</v>
      </c>
      <c r="B12" s="104" t="s">
        <v>113</v>
      </c>
      <c r="C12" s="105">
        <v>15458</v>
      </c>
      <c r="D12" s="105">
        <v>15458</v>
      </c>
      <c r="E12" s="105">
        <v>0</v>
      </c>
      <c r="F12" s="151">
        <v>15458</v>
      </c>
    </row>
    <row r="13" spans="1:6" ht="13.5">
      <c r="A13" s="103" t="s">
        <v>114</v>
      </c>
      <c r="B13" s="104" t="s">
        <v>115</v>
      </c>
      <c r="C13" s="105">
        <v>5289</v>
      </c>
      <c r="D13" s="105">
        <v>5289</v>
      </c>
      <c r="E13" s="105">
        <v>0</v>
      </c>
      <c r="F13" s="151">
        <v>5289</v>
      </c>
    </row>
    <row r="14" spans="1:6" ht="13.5">
      <c r="A14" s="103"/>
      <c r="B14" s="104"/>
      <c r="C14" s="105"/>
      <c r="D14" s="105"/>
      <c r="E14" s="105" t="s">
        <v>116</v>
      </c>
      <c r="F14" s="151"/>
    </row>
    <row r="15" spans="1:6" ht="13.5">
      <c r="A15" s="103" t="s">
        <v>117</v>
      </c>
      <c r="B15" s="104"/>
      <c r="C15" s="105">
        <v>348746</v>
      </c>
      <c r="D15" s="105">
        <v>348746</v>
      </c>
      <c r="E15" s="105">
        <v>0</v>
      </c>
      <c r="F15" s="151">
        <v>348746</v>
      </c>
    </row>
    <row r="16" spans="1:6" ht="13.5">
      <c r="A16" s="103"/>
      <c r="B16" s="104"/>
      <c r="C16" s="105"/>
      <c r="D16" s="105"/>
      <c r="E16" s="105"/>
      <c r="F16" s="151"/>
    </row>
    <row r="17" spans="1:6" ht="13.5">
      <c r="A17" s="103" t="s">
        <v>118</v>
      </c>
      <c r="B17" s="104" t="s">
        <v>119</v>
      </c>
      <c r="C17" s="105">
        <v>2747</v>
      </c>
      <c r="D17" s="105">
        <v>2747</v>
      </c>
      <c r="E17" s="105">
        <v>0</v>
      </c>
      <c r="F17" s="151">
        <v>2747</v>
      </c>
    </row>
    <row r="18" spans="1:6" ht="13.5">
      <c r="A18" s="103"/>
      <c r="B18" s="104"/>
      <c r="C18" s="105"/>
      <c r="D18" s="105"/>
      <c r="E18" s="105"/>
      <c r="F18" s="151"/>
    </row>
    <row r="19" spans="1:6" ht="13.5">
      <c r="A19" s="107" t="s">
        <v>120</v>
      </c>
      <c r="B19" s="106"/>
      <c r="C19" s="156">
        <v>351493</v>
      </c>
      <c r="D19" s="156">
        <v>351493</v>
      </c>
      <c r="E19" s="156">
        <v>0</v>
      </c>
      <c r="F19" s="157">
        <v>351493</v>
      </c>
    </row>
    <row r="20" spans="1:6" ht="13.5">
      <c r="A20" s="107"/>
      <c r="B20" s="106"/>
      <c r="C20" s="156"/>
      <c r="D20" s="156"/>
      <c r="E20" s="156"/>
      <c r="F20" s="157"/>
    </row>
    <row r="21" spans="1:6" ht="13.5">
      <c r="A21" s="107" t="s">
        <v>121</v>
      </c>
      <c r="B21" s="106"/>
      <c r="C21" s="156">
        <v>192133</v>
      </c>
      <c r="D21" s="156">
        <v>88015</v>
      </c>
      <c r="E21" s="156">
        <v>0</v>
      </c>
      <c r="F21" s="156">
        <v>192133</v>
      </c>
    </row>
    <row r="22" spans="1:6" ht="13.5">
      <c r="A22" s="107" t="s">
        <v>2</v>
      </c>
      <c r="B22" s="106"/>
      <c r="C22" s="156"/>
      <c r="D22" s="156"/>
      <c r="E22" s="156"/>
      <c r="F22" s="157"/>
    </row>
    <row r="23" spans="1:6" ht="13.5">
      <c r="A23" s="103" t="s">
        <v>122</v>
      </c>
      <c r="B23" s="108"/>
      <c r="C23" s="105">
        <v>95493</v>
      </c>
      <c r="D23" s="105">
        <v>95493</v>
      </c>
      <c r="E23" s="105">
        <v>0</v>
      </c>
      <c r="F23" s="151">
        <v>95493</v>
      </c>
    </row>
    <row r="24" spans="1:6" ht="13.5">
      <c r="A24" s="103" t="s">
        <v>123</v>
      </c>
      <c r="B24" s="104" t="s">
        <v>124</v>
      </c>
      <c r="C24" s="105">
        <v>107</v>
      </c>
      <c r="D24" s="105">
        <v>0</v>
      </c>
      <c r="E24" s="105">
        <v>0</v>
      </c>
      <c r="F24" s="151">
        <v>107</v>
      </c>
    </row>
    <row r="25" spans="1:6" ht="13.5">
      <c r="A25" s="103" t="s">
        <v>125</v>
      </c>
      <c r="B25" s="108" t="s">
        <v>126</v>
      </c>
      <c r="C25" s="105">
        <v>0</v>
      </c>
      <c r="D25" s="105">
        <v>0</v>
      </c>
      <c r="E25" s="105">
        <v>0</v>
      </c>
      <c r="F25" s="151">
        <v>0</v>
      </c>
    </row>
    <row r="26" spans="1:6" ht="13.5">
      <c r="A26" s="103" t="s">
        <v>127</v>
      </c>
      <c r="B26" s="104" t="s">
        <v>128</v>
      </c>
      <c r="C26" s="105">
        <v>88015</v>
      </c>
      <c r="D26" s="105">
        <v>88015</v>
      </c>
      <c r="E26" s="105">
        <v>0</v>
      </c>
      <c r="F26" s="151">
        <v>88015</v>
      </c>
    </row>
    <row r="27" spans="1:6" ht="13.5">
      <c r="A27" s="103" t="s">
        <v>129</v>
      </c>
      <c r="B27" s="108"/>
      <c r="C27" s="109">
        <v>4240</v>
      </c>
      <c r="D27" s="109">
        <v>0</v>
      </c>
      <c r="E27" s="109">
        <v>0</v>
      </c>
      <c r="F27" s="151">
        <v>4240</v>
      </c>
    </row>
    <row r="28" spans="1:6" ht="13.5">
      <c r="A28" s="103" t="s">
        <v>130</v>
      </c>
      <c r="B28" s="108" t="s">
        <v>131</v>
      </c>
      <c r="C28" s="109">
        <v>0</v>
      </c>
      <c r="D28" s="109">
        <v>0</v>
      </c>
      <c r="E28" s="109">
        <v>0</v>
      </c>
      <c r="F28" s="151">
        <v>0</v>
      </c>
    </row>
    <row r="29" spans="1:6" ht="13.5">
      <c r="A29" s="103" t="s">
        <v>132</v>
      </c>
      <c r="B29" s="108" t="s">
        <v>133</v>
      </c>
      <c r="C29" s="109">
        <v>118</v>
      </c>
      <c r="D29" s="109">
        <v>0</v>
      </c>
      <c r="E29" s="109">
        <v>0</v>
      </c>
      <c r="F29" s="151">
        <v>118</v>
      </c>
    </row>
    <row r="30" spans="1:6" ht="13.5">
      <c r="A30" s="103" t="s">
        <v>134</v>
      </c>
      <c r="B30" s="108"/>
      <c r="C30" s="109">
        <v>128</v>
      </c>
      <c r="D30" s="109">
        <v>0</v>
      </c>
      <c r="E30" s="109">
        <v>0</v>
      </c>
      <c r="F30" s="151">
        <v>128</v>
      </c>
    </row>
    <row r="31" spans="1:6" ht="13.5">
      <c r="A31" s="103" t="s">
        <v>135</v>
      </c>
      <c r="B31" s="108" t="s">
        <v>136</v>
      </c>
      <c r="C31" s="109">
        <v>4032</v>
      </c>
      <c r="D31" s="109">
        <v>0</v>
      </c>
      <c r="E31" s="109">
        <v>0</v>
      </c>
      <c r="F31" s="151">
        <v>4032</v>
      </c>
    </row>
    <row r="32" spans="1:6" ht="14.25" thickBot="1">
      <c r="A32" s="103" t="s">
        <v>137</v>
      </c>
      <c r="B32" s="108" t="s">
        <v>138</v>
      </c>
      <c r="C32" s="110">
        <v>0</v>
      </c>
      <c r="D32" s="110">
        <v>0</v>
      </c>
      <c r="E32" s="110">
        <v>0</v>
      </c>
      <c r="F32" s="151">
        <v>0</v>
      </c>
    </row>
    <row r="33" spans="1:6" ht="14.25" thickBot="1">
      <c r="A33" s="158" t="s">
        <v>139</v>
      </c>
      <c r="B33" s="158"/>
      <c r="C33" s="159">
        <v>543626</v>
      </c>
      <c r="D33" s="159">
        <v>244792</v>
      </c>
      <c r="E33" s="159">
        <v>0</v>
      </c>
      <c r="F33" s="159">
        <v>543626</v>
      </c>
    </row>
    <row r="34" spans="1:6" ht="13.5">
      <c r="A34" s="111"/>
      <c r="B34" s="111"/>
      <c r="C34" s="112"/>
      <c r="D34" s="112"/>
      <c r="E34" s="112"/>
      <c r="F34" s="112"/>
    </row>
    <row r="35" spans="1:6" ht="13.5">
      <c r="A35" s="111"/>
      <c r="B35" s="111"/>
      <c r="C35" s="112"/>
      <c r="D35" s="112"/>
      <c r="E35" s="112"/>
      <c r="F35" s="112"/>
    </row>
    <row r="36" spans="1:8" ht="13.5">
      <c r="A36" s="111" t="s">
        <v>161</v>
      </c>
      <c r="B36" s="111"/>
      <c r="C36" s="112"/>
      <c r="E36" s="112"/>
      <c r="F36" s="92"/>
      <c r="G36" s="92"/>
      <c r="H36" s="130"/>
    </row>
    <row r="37" spans="1:8" ht="14.25" thickBot="1">
      <c r="A37" s="113" t="s">
        <v>140</v>
      </c>
      <c r="B37" s="114"/>
      <c r="H37" s="115" t="s">
        <v>141</v>
      </c>
    </row>
    <row r="38" spans="1:8" ht="14.25" thickBot="1">
      <c r="A38" s="116" t="s">
        <v>165</v>
      </c>
      <c r="B38" s="117" t="s">
        <v>142</v>
      </c>
      <c r="C38" s="118" t="s">
        <v>143</v>
      </c>
      <c r="D38" s="160" t="s">
        <v>144</v>
      </c>
      <c r="E38" s="160" t="s">
        <v>162</v>
      </c>
      <c r="F38" s="160" t="s">
        <v>163</v>
      </c>
      <c r="G38" s="160" t="s">
        <v>164</v>
      </c>
      <c r="H38" s="161" t="s">
        <v>145</v>
      </c>
    </row>
    <row r="39" spans="1:8" ht="13.5">
      <c r="A39" s="119" t="s">
        <v>146</v>
      </c>
      <c r="B39" s="120"/>
      <c r="C39" s="121"/>
      <c r="D39" s="162"/>
      <c r="E39" s="162"/>
      <c r="F39" s="162"/>
      <c r="G39" s="162"/>
      <c r="H39" s="122"/>
    </row>
    <row r="40" spans="1:8" ht="13.5">
      <c r="A40" s="119" t="s">
        <v>147</v>
      </c>
      <c r="B40" s="123">
        <v>260000</v>
      </c>
      <c r="C40" s="121">
        <v>70000</v>
      </c>
      <c r="D40" s="162"/>
      <c r="E40" s="162"/>
      <c r="F40" s="162"/>
      <c r="G40" s="162"/>
      <c r="H40" s="122">
        <v>330000</v>
      </c>
    </row>
    <row r="41" spans="1:8" ht="13.5">
      <c r="A41" s="119" t="s">
        <v>148</v>
      </c>
      <c r="B41" s="123">
        <v>310000</v>
      </c>
      <c r="C41" s="121">
        <v>50000</v>
      </c>
      <c r="D41" s="162"/>
      <c r="E41" s="162"/>
      <c r="F41" s="162"/>
      <c r="G41" s="162"/>
      <c r="H41" s="122">
        <v>360000</v>
      </c>
    </row>
    <row r="42" spans="1:8" ht="13.5">
      <c r="A42" s="119" t="s">
        <v>149</v>
      </c>
      <c r="B42" s="123">
        <v>247000</v>
      </c>
      <c r="C42" s="121">
        <v>40000</v>
      </c>
      <c r="D42" s="163">
        <v>135000</v>
      </c>
      <c r="E42" s="163">
        <v>93000</v>
      </c>
      <c r="F42" s="163">
        <v>34000</v>
      </c>
      <c r="G42" s="163">
        <v>71000</v>
      </c>
      <c r="H42" s="122">
        <v>620000</v>
      </c>
    </row>
    <row r="43" spans="1:8" ht="14.25" thickBot="1">
      <c r="A43" s="119"/>
      <c r="B43" s="124"/>
      <c r="C43" s="121"/>
      <c r="D43" s="162"/>
      <c r="E43" s="162"/>
      <c r="F43" s="162"/>
      <c r="G43" s="162"/>
      <c r="H43" s="122"/>
    </row>
    <row r="44" spans="1:8" ht="14.25" thickBot="1">
      <c r="A44" s="116" t="s">
        <v>150</v>
      </c>
      <c r="B44" s="125">
        <v>817000</v>
      </c>
      <c r="C44" s="126">
        <v>160000</v>
      </c>
      <c r="D44" s="126">
        <v>135000</v>
      </c>
      <c r="E44" s="126">
        <v>93000</v>
      </c>
      <c r="F44" s="126">
        <v>34000</v>
      </c>
      <c r="G44" s="126">
        <v>71000</v>
      </c>
      <c r="H44" s="126">
        <v>1310000</v>
      </c>
    </row>
    <row r="45" spans="1:5" ht="13.5">
      <c r="A45" s="114"/>
      <c r="B45" s="127"/>
      <c r="C45" s="127"/>
      <c r="D45" s="127"/>
      <c r="E45" s="127"/>
    </row>
    <row r="46" spans="1:5" ht="13.5">
      <c r="A46" s="128" t="s">
        <v>151</v>
      </c>
      <c r="B46" s="127"/>
      <c r="C46" s="127"/>
      <c r="D46" s="127"/>
      <c r="E46" s="127"/>
    </row>
    <row r="47" spans="1:6" ht="14.25" thickBot="1">
      <c r="A47" s="129" t="s">
        <v>2</v>
      </c>
      <c r="B47" s="127"/>
      <c r="C47" s="127"/>
      <c r="F47" s="130" t="s">
        <v>141</v>
      </c>
    </row>
    <row r="48" spans="1:6" ht="13.5">
      <c r="A48" s="131" t="s">
        <v>165</v>
      </c>
      <c r="B48" s="132" t="s">
        <v>146</v>
      </c>
      <c r="C48" s="164" t="s">
        <v>147</v>
      </c>
      <c r="D48" s="164" t="s">
        <v>148</v>
      </c>
      <c r="E48" s="164" t="s">
        <v>149</v>
      </c>
      <c r="F48" s="133" t="s">
        <v>4</v>
      </c>
    </row>
    <row r="49" spans="1:6" ht="14.25" thickBot="1">
      <c r="A49" s="134"/>
      <c r="B49" s="135" t="s">
        <v>145</v>
      </c>
      <c r="C49" s="136" t="s">
        <v>145</v>
      </c>
      <c r="D49" s="136" t="s">
        <v>145</v>
      </c>
      <c r="E49" s="136" t="s">
        <v>145</v>
      </c>
      <c r="F49" s="137"/>
    </row>
    <row r="50" spans="1:6" ht="13.5">
      <c r="A50" s="138" t="s">
        <v>146</v>
      </c>
      <c r="B50" s="139">
        <v>180391</v>
      </c>
      <c r="C50" s="139"/>
      <c r="D50" s="162"/>
      <c r="E50" s="162"/>
      <c r="F50" s="140">
        <v>180391</v>
      </c>
    </row>
    <row r="51" spans="1:6" ht="13.5">
      <c r="A51" s="138" t="s">
        <v>147</v>
      </c>
      <c r="B51" s="141"/>
      <c r="C51" s="139">
        <v>180392</v>
      </c>
      <c r="D51" s="163"/>
      <c r="E51" s="162"/>
      <c r="F51" s="140">
        <v>180392</v>
      </c>
    </row>
    <row r="52" spans="1:6" ht="13.5">
      <c r="A52" s="138" t="s">
        <v>148</v>
      </c>
      <c r="B52" s="139"/>
      <c r="C52" s="139"/>
      <c r="D52" s="163">
        <v>180391</v>
      </c>
      <c r="E52" s="162"/>
      <c r="F52" s="140">
        <v>180391</v>
      </c>
    </row>
    <row r="53" spans="1:6" ht="13.5">
      <c r="A53" s="138" t="s">
        <v>149</v>
      </c>
      <c r="B53" s="141"/>
      <c r="C53" s="141"/>
      <c r="D53" s="162"/>
      <c r="E53" s="163">
        <v>132369</v>
      </c>
      <c r="F53" s="140">
        <v>132369</v>
      </c>
    </row>
    <row r="54" spans="1:6" ht="14.25" thickBot="1">
      <c r="A54" s="138"/>
      <c r="B54" s="141"/>
      <c r="C54" s="142"/>
      <c r="D54" s="162"/>
      <c r="E54" s="162"/>
      <c r="F54" s="140"/>
    </row>
    <row r="55" spans="1:6" ht="14.25" thickBot="1">
      <c r="A55" s="143" t="s">
        <v>150</v>
      </c>
      <c r="B55" s="144">
        <v>180391</v>
      </c>
      <c r="C55" s="144">
        <v>180392</v>
      </c>
      <c r="D55" s="144">
        <v>180391</v>
      </c>
      <c r="E55" s="144">
        <v>132369</v>
      </c>
      <c r="F55" s="126">
        <v>673543</v>
      </c>
    </row>
    <row r="56" spans="1:5" ht="13.5">
      <c r="A56" s="91"/>
      <c r="B56" s="92"/>
      <c r="C56" s="92"/>
      <c r="D56" s="92"/>
      <c r="E56" s="92"/>
    </row>
    <row r="57" spans="1:5" ht="13.5">
      <c r="A57" s="93"/>
      <c r="B57" s="114"/>
      <c r="C57" s="114"/>
      <c r="D57" s="114"/>
      <c r="E57" s="114"/>
    </row>
    <row r="58" ht="13.5">
      <c r="A58" s="93"/>
    </row>
  </sheetData>
  <sheetProtection/>
  <printOptions/>
  <pageMargins left="0.1968503937007874" right="0.1968503937007874" top="0.5118110236220472" bottom="0.6299212598425197" header="0.5118110236220472" footer="0.5118110236220472"/>
  <pageSetup fitToHeight="1" fitToWidth="1" horizontalDpi="300" verticalDpi="300" orientation="portrait" paperSize="9" scale="5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2"/>
  <sheetViews>
    <sheetView zoomScale="75" zoomScaleNormal="75" zoomScalePageLayoutView="0" workbookViewId="0" topLeftCell="A1">
      <selection activeCell="G10" sqref="G10"/>
    </sheetView>
  </sheetViews>
  <sheetFormatPr defaultColWidth="9.140625" defaultRowHeight="12.75"/>
  <cols>
    <col min="1" max="1" width="24.00390625" style="251" customWidth="1"/>
    <col min="2" max="2" width="17.7109375" style="251" customWidth="1"/>
    <col min="3" max="4" width="16.00390625" style="251" customWidth="1"/>
    <col min="5" max="5" width="15.8515625" style="251" customWidth="1"/>
    <col min="6" max="6" width="16.00390625" style="251" customWidth="1"/>
    <col min="7" max="7" width="15.7109375" style="251" customWidth="1"/>
    <col min="8" max="8" width="15.421875" style="251" customWidth="1"/>
    <col min="9" max="9" width="16.140625" style="251" customWidth="1"/>
    <col min="10" max="10" width="14.7109375" style="251" customWidth="1"/>
    <col min="11" max="11" width="17.7109375" style="251" customWidth="1"/>
    <col min="12" max="12" width="14.8515625" style="251" customWidth="1"/>
    <col min="13" max="13" width="16.00390625" style="251" customWidth="1"/>
    <col min="14" max="14" width="16.8515625" style="251" customWidth="1"/>
    <col min="15" max="15" width="16.140625" style="251" bestFit="1" customWidth="1"/>
    <col min="16" max="16" width="16.7109375" style="251" bestFit="1" customWidth="1"/>
    <col min="17" max="17" width="14.8515625" style="251" bestFit="1" customWidth="1"/>
    <col min="18" max="18" width="16.140625" style="251" bestFit="1" customWidth="1"/>
    <col min="19" max="19" width="14.8515625" style="251" bestFit="1" customWidth="1"/>
    <col min="20" max="20" width="15.00390625" style="251" hidden="1" customWidth="1"/>
    <col min="21" max="16384" width="9.140625" style="251" customWidth="1"/>
  </cols>
  <sheetData>
    <row r="2" spans="1:19" ht="21">
      <c r="A2" s="248" t="s">
        <v>242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  <c r="O2" s="250"/>
      <c r="P2" s="249"/>
      <c r="Q2" s="249"/>
      <c r="R2" s="249"/>
      <c r="S2" s="249"/>
    </row>
    <row r="4" spans="10:20" ht="15" thickBot="1">
      <c r="J4" s="252"/>
      <c r="K4" s="252"/>
      <c r="L4" s="252"/>
      <c r="M4" s="252"/>
      <c r="N4" s="253" t="s">
        <v>243</v>
      </c>
      <c r="S4" s="254"/>
      <c r="T4" s="252" t="s">
        <v>244</v>
      </c>
    </row>
    <row r="5" spans="1:20" ht="33.75" customHeight="1">
      <c r="A5" s="255" t="s">
        <v>245</v>
      </c>
      <c r="B5" s="256" t="s">
        <v>246</v>
      </c>
      <c r="C5" s="257"/>
      <c r="D5" s="257"/>
      <c r="E5" s="258"/>
      <c r="F5" s="257"/>
      <c r="G5" s="257"/>
      <c r="H5" s="257"/>
      <c r="I5" s="257"/>
      <c r="J5" s="259"/>
      <c r="K5" s="259"/>
      <c r="L5" s="259"/>
      <c r="M5" s="259"/>
      <c r="N5" s="259"/>
      <c r="T5" s="259"/>
    </row>
    <row r="6" spans="1:20" ht="30" customHeight="1">
      <c r="A6" s="260"/>
      <c r="B6" s="261" t="s">
        <v>247</v>
      </c>
      <c r="C6" s="262" t="s">
        <v>248</v>
      </c>
      <c r="D6" s="263"/>
      <c r="E6" s="263"/>
      <c r="F6" s="263"/>
      <c r="G6" s="263"/>
      <c r="H6" s="263"/>
      <c r="I6" s="263"/>
      <c r="J6" s="264"/>
      <c r="K6" s="264"/>
      <c r="L6" s="264"/>
      <c r="M6" s="264"/>
      <c r="N6" s="264"/>
      <c r="T6" s="264"/>
    </row>
    <row r="7" spans="1:20" ht="29.25" customHeight="1" thickBot="1">
      <c r="A7" s="260"/>
      <c r="B7" s="260"/>
      <c r="C7" s="265" t="s">
        <v>249</v>
      </c>
      <c r="D7" s="266" t="s">
        <v>72</v>
      </c>
      <c r="E7" s="266" t="s">
        <v>89</v>
      </c>
      <c r="F7" s="266" t="s">
        <v>90</v>
      </c>
      <c r="G7" s="266" t="s">
        <v>91</v>
      </c>
      <c r="H7" s="266" t="s">
        <v>92</v>
      </c>
      <c r="I7" s="266" t="s">
        <v>94</v>
      </c>
      <c r="J7" s="266" t="s">
        <v>95</v>
      </c>
      <c r="K7" s="266" t="s">
        <v>96</v>
      </c>
      <c r="L7" s="266" t="s">
        <v>97</v>
      </c>
      <c r="M7" s="266" t="s">
        <v>98</v>
      </c>
      <c r="N7" s="267" t="s">
        <v>152</v>
      </c>
      <c r="T7" s="268" t="s">
        <v>96</v>
      </c>
    </row>
    <row r="8" spans="1:20" ht="13.5" thickBot="1">
      <c r="A8" s="269" t="s">
        <v>0</v>
      </c>
      <c r="B8" s="269">
        <v>1</v>
      </c>
      <c r="C8" s="270">
        <v>2</v>
      </c>
      <c r="D8" s="271">
        <v>3</v>
      </c>
      <c r="E8" s="271">
        <v>4</v>
      </c>
      <c r="F8" s="271">
        <v>5</v>
      </c>
      <c r="G8" s="271">
        <v>6</v>
      </c>
      <c r="H8" s="271">
        <v>7</v>
      </c>
      <c r="I8" s="271">
        <v>8</v>
      </c>
      <c r="J8" s="271">
        <v>9</v>
      </c>
      <c r="K8" s="271">
        <v>10</v>
      </c>
      <c r="L8" s="271">
        <v>11</v>
      </c>
      <c r="M8" s="271">
        <v>12</v>
      </c>
      <c r="N8" s="272">
        <v>13</v>
      </c>
      <c r="T8" s="272">
        <v>20</v>
      </c>
    </row>
    <row r="9" spans="1:20" ht="36.75" customHeight="1">
      <c r="A9" s="273" t="s">
        <v>250</v>
      </c>
      <c r="B9" s="274">
        <v>113711000</v>
      </c>
      <c r="C9" s="275">
        <v>8606667</v>
      </c>
      <c r="D9" s="276">
        <v>8662870</v>
      </c>
      <c r="E9" s="276">
        <v>8342284</v>
      </c>
      <c r="F9" s="276">
        <v>9988998</v>
      </c>
      <c r="G9" s="276">
        <v>8359113</v>
      </c>
      <c r="H9" s="276">
        <v>8434884</v>
      </c>
      <c r="I9" s="276">
        <v>9373749</v>
      </c>
      <c r="J9" s="276">
        <v>8421462</v>
      </c>
      <c r="K9" s="276">
        <v>8500459</v>
      </c>
      <c r="L9" s="276">
        <v>8702050</v>
      </c>
      <c r="M9" s="276">
        <v>8335463</v>
      </c>
      <c r="N9" s="277">
        <v>16908446</v>
      </c>
      <c r="P9" s="278"/>
      <c r="T9" s="277">
        <v>4184888</v>
      </c>
    </row>
    <row r="10" spans="1:20" ht="23.25" customHeight="1" thickBot="1">
      <c r="A10" s="279"/>
      <c r="B10" s="280"/>
      <c r="C10" s="281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3"/>
      <c r="T10" s="283" t="s">
        <v>251</v>
      </c>
    </row>
    <row r="11" ht="12.75">
      <c r="P11" s="278"/>
    </row>
    <row r="14" spans="10:14" ht="15" thickBot="1">
      <c r="J14" s="252"/>
      <c r="K14" s="252"/>
      <c r="L14" s="252"/>
      <c r="M14" s="252"/>
      <c r="N14" s="253" t="s">
        <v>243</v>
      </c>
    </row>
    <row r="15" spans="1:14" ht="34.5" customHeight="1">
      <c r="A15" s="255" t="s">
        <v>245</v>
      </c>
      <c r="B15" s="256" t="s">
        <v>252</v>
      </c>
      <c r="C15" s="257"/>
      <c r="D15" s="257"/>
      <c r="E15" s="258"/>
      <c r="F15" s="257"/>
      <c r="G15" s="257"/>
      <c r="H15" s="257"/>
      <c r="I15" s="257"/>
      <c r="J15" s="259"/>
      <c r="K15" s="259"/>
      <c r="L15" s="259"/>
      <c r="M15" s="259"/>
      <c r="N15" s="259"/>
    </row>
    <row r="16" spans="1:14" ht="30" customHeight="1">
      <c r="A16" s="260"/>
      <c r="B16" s="261" t="s">
        <v>253</v>
      </c>
      <c r="C16" s="262" t="s">
        <v>248</v>
      </c>
      <c r="D16" s="263"/>
      <c r="E16" s="263"/>
      <c r="F16" s="263"/>
      <c r="G16" s="263"/>
      <c r="H16" s="263"/>
      <c r="I16" s="263"/>
      <c r="J16" s="264"/>
      <c r="K16" s="264"/>
      <c r="L16" s="264"/>
      <c r="M16" s="264"/>
      <c r="N16" s="264"/>
    </row>
    <row r="17" spans="1:14" ht="30" customHeight="1" thickBot="1">
      <c r="A17" s="260"/>
      <c r="B17" s="261" t="s">
        <v>254</v>
      </c>
      <c r="C17" s="284" t="s">
        <v>249</v>
      </c>
      <c r="D17" s="285" t="s">
        <v>72</v>
      </c>
      <c r="E17" s="285" t="s">
        <v>89</v>
      </c>
      <c r="F17" s="285" t="s">
        <v>90</v>
      </c>
      <c r="G17" s="285" t="s">
        <v>91</v>
      </c>
      <c r="H17" s="285" t="s">
        <v>92</v>
      </c>
      <c r="I17" s="285" t="s">
        <v>94</v>
      </c>
      <c r="J17" s="285" t="s">
        <v>95</v>
      </c>
      <c r="K17" s="285" t="s">
        <v>96</v>
      </c>
      <c r="L17" s="285" t="s">
        <v>97</v>
      </c>
      <c r="M17" s="266" t="s">
        <v>98</v>
      </c>
      <c r="N17" s="267" t="s">
        <v>152</v>
      </c>
    </row>
    <row r="18" spans="1:14" ht="13.5" thickBot="1">
      <c r="A18" s="269" t="s">
        <v>0</v>
      </c>
      <c r="B18" s="269">
        <v>1</v>
      </c>
      <c r="C18" s="270">
        <v>2</v>
      </c>
      <c r="D18" s="271">
        <v>3</v>
      </c>
      <c r="E18" s="271">
        <v>4</v>
      </c>
      <c r="F18" s="271">
        <v>5</v>
      </c>
      <c r="G18" s="271">
        <v>6</v>
      </c>
      <c r="H18" s="271">
        <v>7</v>
      </c>
      <c r="I18" s="271">
        <v>8</v>
      </c>
      <c r="J18" s="271">
        <v>9</v>
      </c>
      <c r="K18" s="271">
        <v>10</v>
      </c>
      <c r="L18" s="271">
        <v>11</v>
      </c>
      <c r="M18" s="271">
        <v>12</v>
      </c>
      <c r="N18" s="272">
        <v>13</v>
      </c>
    </row>
    <row r="19" spans="1:16" ht="37.5" customHeight="1">
      <c r="A19" s="273" t="s">
        <v>250</v>
      </c>
      <c r="B19" s="274">
        <v>126000000</v>
      </c>
      <c r="C19" s="275">
        <v>11572878</v>
      </c>
      <c r="D19" s="276">
        <v>5229443</v>
      </c>
      <c r="E19" s="276">
        <v>7700431</v>
      </c>
      <c r="F19" s="276">
        <v>8639271</v>
      </c>
      <c r="G19" s="276">
        <v>8655832</v>
      </c>
      <c r="H19" s="276">
        <v>7927273</v>
      </c>
      <c r="I19" s="276">
        <v>12487771</v>
      </c>
      <c r="J19" s="276">
        <v>8706648</v>
      </c>
      <c r="K19" s="276">
        <v>8383059</v>
      </c>
      <c r="L19" s="276">
        <v>9140804</v>
      </c>
      <c r="M19" s="276">
        <v>12852995</v>
      </c>
      <c r="N19" s="277">
        <v>23455878</v>
      </c>
      <c r="P19" s="278"/>
    </row>
    <row r="20" spans="1:14" ht="23.25" customHeight="1" thickBot="1">
      <c r="A20" s="279"/>
      <c r="B20" s="280"/>
      <c r="C20" s="281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3"/>
    </row>
    <row r="21" ht="12.75">
      <c r="P21" s="278"/>
    </row>
    <row r="22" ht="12.75">
      <c r="A22" s="286"/>
    </row>
  </sheetData>
  <sheetProtection/>
  <printOptions horizontalCentered="1"/>
  <pageMargins left="0" right="0" top="1.5748031496062993" bottom="0" header="0" footer="0"/>
  <pageSetup fitToHeight="1" fitToWidth="1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289" customWidth="1"/>
    <col min="2" max="2" width="28.7109375" style="289" customWidth="1"/>
    <col min="3" max="7" width="16.7109375" style="289" customWidth="1"/>
    <col min="8" max="10" width="17.7109375" style="289" customWidth="1"/>
    <col min="11" max="11" width="6.421875" style="289" customWidth="1"/>
    <col min="12" max="16384" width="9.140625" style="289" customWidth="1"/>
  </cols>
  <sheetData>
    <row r="1" spans="1:11" ht="17.25">
      <c r="A1" s="287"/>
      <c r="B1" s="288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5">
      <c r="A2" s="287"/>
      <c r="B2" s="290" t="s">
        <v>255</v>
      </c>
      <c r="C2" s="291"/>
      <c r="D2" s="291"/>
      <c r="E2" s="291"/>
      <c r="F2" s="292"/>
      <c r="G2" s="291"/>
      <c r="H2" s="291"/>
      <c r="I2" s="291"/>
      <c r="J2" s="291"/>
      <c r="K2" s="291"/>
    </row>
    <row r="3" spans="1:11" ht="16.5" customHeight="1">
      <c r="A3" s="287"/>
      <c r="B3" s="290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2.75">
      <c r="A4" s="287"/>
      <c r="B4" s="293"/>
      <c r="C4" s="294"/>
      <c r="D4" s="294"/>
      <c r="E4" s="294"/>
      <c r="F4" s="294"/>
      <c r="G4" s="294"/>
      <c r="H4" s="295"/>
      <c r="I4" s="295"/>
      <c r="J4" s="295"/>
      <c r="K4" s="295"/>
    </row>
    <row r="5" spans="1:11" ht="13.5" thickBot="1">
      <c r="A5" s="287"/>
      <c r="B5" s="287"/>
      <c r="C5" s="287"/>
      <c r="D5" s="287"/>
      <c r="E5" s="287"/>
      <c r="F5" s="287"/>
      <c r="G5" s="287"/>
      <c r="H5" s="287"/>
      <c r="I5" s="287"/>
      <c r="J5" s="296" t="s">
        <v>243</v>
      </c>
      <c r="K5" s="296"/>
    </row>
    <row r="6" spans="1:11" ht="14.25" thickBot="1">
      <c r="A6" s="287"/>
      <c r="B6" s="297" t="s">
        <v>256</v>
      </c>
      <c r="C6" s="298" t="s">
        <v>257</v>
      </c>
      <c r="D6" s="299" t="s">
        <v>258</v>
      </c>
      <c r="E6" s="299" t="s">
        <v>259</v>
      </c>
      <c r="F6" s="299" t="s">
        <v>260</v>
      </c>
      <c r="G6" s="300" t="s">
        <v>261</v>
      </c>
      <c r="H6" s="301" t="s">
        <v>262</v>
      </c>
      <c r="I6" s="302" t="s">
        <v>263</v>
      </c>
      <c r="J6" s="301" t="s">
        <v>264</v>
      </c>
      <c r="K6" s="303"/>
    </row>
    <row r="7" spans="1:11" ht="12.75">
      <c r="A7" s="287"/>
      <c r="B7" s="304" t="s">
        <v>265</v>
      </c>
      <c r="C7" s="305">
        <v>0</v>
      </c>
      <c r="D7" s="306">
        <v>0</v>
      </c>
      <c r="E7" s="306">
        <v>0</v>
      </c>
      <c r="F7" s="306">
        <v>0</v>
      </c>
      <c r="G7" s="307">
        <v>0</v>
      </c>
      <c r="H7" s="308">
        <v>0</v>
      </c>
      <c r="I7" s="309">
        <v>0</v>
      </c>
      <c r="J7" s="308">
        <v>0</v>
      </c>
      <c r="K7" s="294"/>
    </row>
    <row r="8" spans="1:11" ht="12.75">
      <c r="A8" s="287"/>
      <c r="B8" s="310" t="s">
        <v>266</v>
      </c>
      <c r="C8" s="311">
        <v>1243707</v>
      </c>
      <c r="D8" s="312">
        <v>20712273</v>
      </c>
      <c r="E8" s="312">
        <v>26723650</v>
      </c>
      <c r="F8" s="312">
        <v>98000</v>
      </c>
      <c r="G8" s="313">
        <v>2878193</v>
      </c>
      <c r="H8" s="314">
        <f>SUM(C8:G8)</f>
        <v>51655823</v>
      </c>
      <c r="I8" s="315">
        <v>5393000</v>
      </c>
      <c r="J8" s="314">
        <f>SUM(H8+I8)</f>
        <v>57048823</v>
      </c>
      <c r="K8" s="316"/>
    </row>
    <row r="9" spans="1:11" ht="12.75">
      <c r="A9" s="287"/>
      <c r="B9" s="317" t="s">
        <v>267</v>
      </c>
      <c r="C9" s="311">
        <v>1362263</v>
      </c>
      <c r="D9" s="312">
        <v>25688054</v>
      </c>
      <c r="E9" s="312">
        <v>25913513</v>
      </c>
      <c r="F9" s="312">
        <v>103245</v>
      </c>
      <c r="G9" s="313">
        <v>2476753</v>
      </c>
      <c r="H9" s="314">
        <f>SUM(C9:G9)</f>
        <v>55543828</v>
      </c>
      <c r="I9" s="315">
        <v>7980201</v>
      </c>
      <c r="J9" s="314">
        <f>SUM(H9+I9)</f>
        <v>63524029</v>
      </c>
      <c r="K9" s="316"/>
    </row>
    <row r="10" spans="1:11" ht="12.75">
      <c r="A10" s="287"/>
      <c r="B10" s="310" t="s">
        <v>268</v>
      </c>
      <c r="C10" s="318">
        <f>1212891+15385</f>
        <v>1228276</v>
      </c>
      <c r="D10" s="319">
        <f>24945532+584295</f>
        <v>25529827</v>
      </c>
      <c r="E10" s="319">
        <f>25702691+36418</f>
        <v>25739109</v>
      </c>
      <c r="F10" s="319">
        <f>100570+308</f>
        <v>100878</v>
      </c>
      <c r="G10" s="320">
        <f>2412246+45451</f>
        <v>2457697</v>
      </c>
      <c r="H10" s="321">
        <f>SUM(C10:G10)</f>
        <v>55055787</v>
      </c>
      <c r="I10" s="322">
        <v>7969141</v>
      </c>
      <c r="J10" s="321">
        <f>SUM(H10+I10)</f>
        <v>63024928</v>
      </c>
      <c r="K10" s="323"/>
    </row>
    <row r="11" spans="1:11" ht="12.75">
      <c r="A11" s="287"/>
      <c r="B11" s="310" t="s">
        <v>269</v>
      </c>
      <c r="C11" s="324">
        <f aca="true" t="shared" si="0" ref="C11:J11">C10/C9*100</f>
        <v>90.1643808868038</v>
      </c>
      <c r="D11" s="325">
        <f t="shared" si="0"/>
        <v>99.38404442781068</v>
      </c>
      <c r="E11" s="325">
        <f t="shared" si="0"/>
        <v>99.32697662412657</v>
      </c>
      <c r="F11" s="325">
        <f t="shared" si="0"/>
        <v>97.70739503123637</v>
      </c>
      <c r="G11" s="326">
        <f t="shared" si="0"/>
        <v>99.23060555493423</v>
      </c>
      <c r="H11" s="327">
        <f t="shared" si="0"/>
        <v>99.12134071854032</v>
      </c>
      <c r="I11" s="325">
        <f t="shared" si="0"/>
        <v>99.86140699964825</v>
      </c>
      <c r="J11" s="327">
        <f t="shared" si="0"/>
        <v>99.21431148518619</v>
      </c>
      <c r="K11" s="328"/>
    </row>
    <row r="12" spans="1:11" ht="12.75">
      <c r="A12" s="287"/>
      <c r="B12" s="329" t="s">
        <v>270</v>
      </c>
      <c r="C12" s="330">
        <v>0</v>
      </c>
      <c r="D12" s="331">
        <v>0</v>
      </c>
      <c r="E12" s="331">
        <v>0</v>
      </c>
      <c r="F12" s="331">
        <v>0</v>
      </c>
      <c r="G12" s="332">
        <v>0</v>
      </c>
      <c r="H12" s="333">
        <v>0</v>
      </c>
      <c r="I12" s="334">
        <v>0</v>
      </c>
      <c r="J12" s="333">
        <v>0</v>
      </c>
      <c r="K12" s="316"/>
    </row>
    <row r="13" spans="1:11" ht="12.75">
      <c r="A13" s="287"/>
      <c r="B13" s="310" t="s">
        <v>266</v>
      </c>
      <c r="C13" s="311">
        <v>103660</v>
      </c>
      <c r="D13" s="312">
        <v>83600</v>
      </c>
      <c r="E13" s="312"/>
      <c r="F13" s="312"/>
      <c r="G13" s="313"/>
      <c r="H13" s="314">
        <f>SUM(C13:G13)</f>
        <v>187260</v>
      </c>
      <c r="I13" s="315"/>
      <c r="J13" s="314">
        <f>SUM(H13+I13)</f>
        <v>187260</v>
      </c>
      <c r="K13" s="316"/>
    </row>
    <row r="14" spans="1:11" ht="12.75">
      <c r="A14" s="287"/>
      <c r="B14" s="317" t="s">
        <v>267</v>
      </c>
      <c r="C14" s="311">
        <v>117037</v>
      </c>
      <c r="D14" s="312">
        <v>85723</v>
      </c>
      <c r="E14" s="312"/>
      <c r="F14" s="312"/>
      <c r="G14" s="313"/>
      <c r="H14" s="314">
        <f>SUM(C14:G14)</f>
        <v>202760</v>
      </c>
      <c r="I14" s="315"/>
      <c r="J14" s="314">
        <f>SUM(H14+I14)</f>
        <v>202760</v>
      </c>
      <c r="K14" s="316"/>
    </row>
    <row r="15" spans="1:11" ht="12.75">
      <c r="A15" s="287"/>
      <c r="B15" s="310" t="s">
        <v>268</v>
      </c>
      <c r="C15" s="318">
        <f>107196+25</f>
        <v>107221</v>
      </c>
      <c r="D15" s="319">
        <v>63773</v>
      </c>
      <c r="E15" s="319"/>
      <c r="F15" s="319"/>
      <c r="G15" s="320"/>
      <c r="H15" s="321">
        <f>SUM(C15:G15)</f>
        <v>170994</v>
      </c>
      <c r="I15" s="322"/>
      <c r="J15" s="321">
        <f>SUM(H15+I15)</f>
        <v>170994</v>
      </c>
      <c r="K15" s="323"/>
    </row>
    <row r="16" spans="1:11" ht="12.75">
      <c r="A16" s="287"/>
      <c r="B16" s="310" t="s">
        <v>269</v>
      </c>
      <c r="C16" s="324">
        <f>C15/C14*100</f>
        <v>91.61290873826225</v>
      </c>
      <c r="D16" s="325">
        <f>D15/D14*100</f>
        <v>74.39426991589188</v>
      </c>
      <c r="E16" s="325"/>
      <c r="F16" s="325"/>
      <c r="G16" s="326"/>
      <c r="H16" s="335">
        <f>H15/H14*100</f>
        <v>84.33320181495364</v>
      </c>
      <c r="I16" s="336"/>
      <c r="J16" s="335">
        <f>J15/J14*100</f>
        <v>84.33320181495364</v>
      </c>
      <c r="K16" s="328"/>
    </row>
    <row r="17" spans="1:11" ht="12.75">
      <c r="A17" s="287"/>
      <c r="B17" s="329" t="s">
        <v>271</v>
      </c>
      <c r="C17" s="330">
        <v>0</v>
      </c>
      <c r="D17" s="331">
        <v>0</v>
      </c>
      <c r="E17" s="331">
        <v>0</v>
      </c>
      <c r="F17" s="331">
        <v>0</v>
      </c>
      <c r="G17" s="332">
        <v>0</v>
      </c>
      <c r="H17" s="333">
        <v>0</v>
      </c>
      <c r="I17" s="334"/>
      <c r="J17" s="333">
        <v>0</v>
      </c>
      <c r="K17" s="316"/>
    </row>
    <row r="18" spans="1:11" ht="12.75">
      <c r="A18" s="287"/>
      <c r="B18" s="310" t="s">
        <v>266</v>
      </c>
      <c r="C18" s="311">
        <v>68965</v>
      </c>
      <c r="D18" s="312">
        <v>23347</v>
      </c>
      <c r="E18" s="312">
        <v>650</v>
      </c>
      <c r="F18" s="312">
        <v>448</v>
      </c>
      <c r="G18" s="313"/>
      <c r="H18" s="314">
        <f>SUM(C18:G18)</f>
        <v>93410</v>
      </c>
      <c r="I18" s="315"/>
      <c r="J18" s="314">
        <f>SUM(H18+I18)</f>
        <v>93410</v>
      </c>
      <c r="K18" s="316"/>
    </row>
    <row r="19" spans="1:11" ht="12.75">
      <c r="A19" s="287"/>
      <c r="B19" s="317" t="s">
        <v>267</v>
      </c>
      <c r="C19" s="311">
        <v>76925</v>
      </c>
      <c r="D19" s="312">
        <v>26937</v>
      </c>
      <c r="E19" s="312">
        <v>700</v>
      </c>
      <c r="F19" s="312">
        <v>448</v>
      </c>
      <c r="G19" s="313"/>
      <c r="H19" s="314">
        <f>SUM(C19:G19)</f>
        <v>105010</v>
      </c>
      <c r="I19" s="315"/>
      <c r="J19" s="314">
        <f>SUM(H19+I19)</f>
        <v>105010</v>
      </c>
      <c r="K19" s="316"/>
    </row>
    <row r="20" spans="1:11" ht="12.75">
      <c r="A20" s="287"/>
      <c r="B20" s="310" t="s">
        <v>268</v>
      </c>
      <c r="C20" s="318">
        <f>57751+1241</f>
        <v>58992</v>
      </c>
      <c r="D20" s="319">
        <v>10473</v>
      </c>
      <c r="E20" s="319">
        <v>666</v>
      </c>
      <c r="F20" s="319">
        <v>33</v>
      </c>
      <c r="G20" s="320"/>
      <c r="H20" s="321">
        <f>SUM(C20:G20)</f>
        <v>70164</v>
      </c>
      <c r="I20" s="322"/>
      <c r="J20" s="321">
        <f>SUM(H20+I20)</f>
        <v>70164</v>
      </c>
      <c r="K20" s="323"/>
    </row>
    <row r="21" spans="1:11" ht="12.75">
      <c r="A21" s="287"/>
      <c r="B21" s="310" t="s">
        <v>269</v>
      </c>
      <c r="C21" s="324">
        <f>C20/C19*100</f>
        <v>76.6876828079298</v>
      </c>
      <c r="D21" s="325">
        <f>D20/D19*100</f>
        <v>38.879607974161935</v>
      </c>
      <c r="E21" s="325">
        <f>E20/E19*100</f>
        <v>95.14285714285714</v>
      </c>
      <c r="F21" s="325">
        <f>F20/F19*100</f>
        <v>7.366071428571429</v>
      </c>
      <c r="G21" s="326"/>
      <c r="H21" s="335">
        <f>H20/H19*100</f>
        <v>66.81649366726978</v>
      </c>
      <c r="I21" s="336"/>
      <c r="J21" s="335">
        <f>J20/J19*100</f>
        <v>66.81649366726978</v>
      </c>
      <c r="K21" s="337"/>
    </row>
    <row r="22" spans="1:11" ht="12.75">
      <c r="A22" s="287"/>
      <c r="B22" s="329" t="s">
        <v>272</v>
      </c>
      <c r="C22" s="330">
        <v>0</v>
      </c>
      <c r="D22" s="331">
        <v>0</v>
      </c>
      <c r="E22" s="331">
        <v>0</v>
      </c>
      <c r="F22" s="331">
        <v>0</v>
      </c>
      <c r="G22" s="332">
        <v>0</v>
      </c>
      <c r="H22" s="333">
        <v>0</v>
      </c>
      <c r="I22" s="334"/>
      <c r="J22" s="333">
        <v>0</v>
      </c>
      <c r="K22" s="316"/>
    </row>
    <row r="23" spans="1:11" ht="12.75">
      <c r="A23" s="287"/>
      <c r="B23" s="310" t="s">
        <v>266</v>
      </c>
      <c r="C23" s="311">
        <v>30688</v>
      </c>
      <c r="D23" s="312">
        <v>14169</v>
      </c>
      <c r="E23" s="312">
        <v>375</v>
      </c>
      <c r="F23" s="312">
        <v>318</v>
      </c>
      <c r="G23" s="313"/>
      <c r="H23" s="314">
        <f>SUM(C23:G23)</f>
        <v>45550</v>
      </c>
      <c r="I23" s="315"/>
      <c r="J23" s="314">
        <f>SUM(H23+I23)</f>
        <v>45550</v>
      </c>
      <c r="K23" s="316"/>
    </row>
    <row r="24" spans="1:11" ht="12.75">
      <c r="A24" s="287"/>
      <c r="B24" s="317" t="s">
        <v>267</v>
      </c>
      <c r="C24" s="311">
        <v>38588</v>
      </c>
      <c r="D24" s="312">
        <v>16819</v>
      </c>
      <c r="E24" s="312">
        <v>425</v>
      </c>
      <c r="F24" s="312">
        <v>318</v>
      </c>
      <c r="G24" s="313"/>
      <c r="H24" s="314">
        <f>SUM(C24:G24)</f>
        <v>56150</v>
      </c>
      <c r="I24" s="315"/>
      <c r="J24" s="314">
        <f>SUM(H24+I24)</f>
        <v>56150</v>
      </c>
      <c r="K24" s="316"/>
    </row>
    <row r="25" spans="1:11" ht="12.75">
      <c r="A25" s="287"/>
      <c r="B25" s="310" t="s">
        <v>268</v>
      </c>
      <c r="C25" s="318">
        <f>28082+618</f>
        <v>28700</v>
      </c>
      <c r="D25" s="319">
        <v>11614</v>
      </c>
      <c r="E25" s="319">
        <v>389</v>
      </c>
      <c r="F25" s="319">
        <v>216</v>
      </c>
      <c r="G25" s="320"/>
      <c r="H25" s="321">
        <f>SUM(C25:G25)</f>
        <v>40919</v>
      </c>
      <c r="I25" s="322"/>
      <c r="J25" s="321">
        <f>SUM(H25+I25)</f>
        <v>40919</v>
      </c>
      <c r="K25" s="323"/>
    </row>
    <row r="26" spans="1:11" ht="12.75">
      <c r="A26" s="287"/>
      <c r="B26" s="310" t="s">
        <v>269</v>
      </c>
      <c r="C26" s="324">
        <f>C25/C24*100</f>
        <v>74.37545350886285</v>
      </c>
      <c r="D26" s="325">
        <f>D25/D24*100</f>
        <v>69.05285688804328</v>
      </c>
      <c r="E26" s="325">
        <f>E25/E24*100</f>
        <v>91.52941176470588</v>
      </c>
      <c r="F26" s="325">
        <f>F25/F24*100</f>
        <v>67.9245283018868</v>
      </c>
      <c r="G26" s="326"/>
      <c r="H26" s="335">
        <f>H25/H24*100</f>
        <v>72.87444345503117</v>
      </c>
      <c r="I26" s="336"/>
      <c r="J26" s="335">
        <f>J25/J24*100</f>
        <v>72.87444345503117</v>
      </c>
      <c r="K26" s="328"/>
    </row>
    <row r="27" spans="1:11" ht="12.75">
      <c r="A27" s="287"/>
      <c r="B27" s="329" t="s">
        <v>273</v>
      </c>
      <c r="C27" s="330">
        <v>0</v>
      </c>
      <c r="D27" s="331">
        <v>0</v>
      </c>
      <c r="E27" s="331">
        <v>0</v>
      </c>
      <c r="F27" s="331">
        <v>0</v>
      </c>
      <c r="G27" s="332">
        <v>0</v>
      </c>
      <c r="H27" s="333">
        <v>0</v>
      </c>
      <c r="I27" s="334"/>
      <c r="J27" s="333">
        <v>0</v>
      </c>
      <c r="K27" s="316"/>
    </row>
    <row r="28" spans="1:11" ht="12.75">
      <c r="A28" s="287"/>
      <c r="B28" s="310" t="s">
        <v>266</v>
      </c>
      <c r="C28" s="311"/>
      <c r="D28" s="312">
        <v>2000</v>
      </c>
      <c r="E28" s="312">
        <v>110160</v>
      </c>
      <c r="F28" s="312"/>
      <c r="G28" s="313"/>
      <c r="H28" s="314">
        <f>SUM(C28:G28)</f>
        <v>112160</v>
      </c>
      <c r="I28" s="315"/>
      <c r="J28" s="314">
        <f>SUM(H28+I28)</f>
        <v>112160</v>
      </c>
      <c r="K28" s="316"/>
    </row>
    <row r="29" spans="1:11" ht="12.75">
      <c r="A29" s="287"/>
      <c r="B29" s="317" t="s">
        <v>267</v>
      </c>
      <c r="C29" s="311"/>
      <c r="D29" s="312">
        <v>2000</v>
      </c>
      <c r="E29" s="312">
        <v>112160</v>
      </c>
      <c r="F29" s="312"/>
      <c r="G29" s="313"/>
      <c r="H29" s="314">
        <f>SUM(C29:G29)</f>
        <v>114160</v>
      </c>
      <c r="I29" s="315"/>
      <c r="J29" s="314">
        <f>SUM(H29+I29)</f>
        <v>114160</v>
      </c>
      <c r="K29" s="316"/>
    </row>
    <row r="30" spans="1:11" ht="12.75">
      <c r="A30" s="287"/>
      <c r="B30" s="310" t="s">
        <v>268</v>
      </c>
      <c r="C30" s="318"/>
      <c r="D30" s="319">
        <v>1369</v>
      </c>
      <c r="E30" s="319">
        <v>110369</v>
      </c>
      <c r="F30" s="319"/>
      <c r="G30" s="320"/>
      <c r="H30" s="321">
        <f>SUM(C30:G30)</f>
        <v>111738</v>
      </c>
      <c r="I30" s="322"/>
      <c r="J30" s="321">
        <f>SUM(H30+I30)</f>
        <v>111738</v>
      </c>
      <c r="K30" s="323"/>
    </row>
    <row r="31" spans="1:11" ht="13.5" thickBot="1">
      <c r="A31" s="287"/>
      <c r="B31" s="338" t="s">
        <v>269</v>
      </c>
      <c r="C31" s="339"/>
      <c r="D31" s="340">
        <f>D30/D29*100</f>
        <v>68.45</v>
      </c>
      <c r="E31" s="340">
        <f>E30/E29*100</f>
        <v>98.40317403708987</v>
      </c>
      <c r="F31" s="340"/>
      <c r="G31" s="341"/>
      <c r="H31" s="335">
        <f>H30/H29*100</f>
        <v>97.87841625788367</v>
      </c>
      <c r="I31" s="336"/>
      <c r="J31" s="335">
        <f>J30/J29*100</f>
        <v>97.87841625788367</v>
      </c>
      <c r="K31" s="328"/>
    </row>
    <row r="32" spans="1:11" ht="12.75">
      <c r="A32" s="287"/>
      <c r="B32" s="342" t="s">
        <v>274</v>
      </c>
      <c r="C32" s="343">
        <v>0</v>
      </c>
      <c r="D32" s="344">
        <v>0</v>
      </c>
      <c r="E32" s="344">
        <v>0</v>
      </c>
      <c r="F32" s="344">
        <v>0</v>
      </c>
      <c r="G32" s="345">
        <v>0</v>
      </c>
      <c r="H32" s="346">
        <v>0</v>
      </c>
      <c r="I32" s="346">
        <v>0</v>
      </c>
      <c r="J32" s="347">
        <v>0</v>
      </c>
      <c r="K32" s="316"/>
    </row>
    <row r="33" spans="1:11" ht="12.75">
      <c r="A33" s="287"/>
      <c r="B33" s="310" t="s">
        <v>266</v>
      </c>
      <c r="C33" s="311">
        <f>SUM(C8+C13+C18+C23+C28)</f>
        <v>1447020</v>
      </c>
      <c r="D33" s="312">
        <f aca="true" t="shared" si="1" ref="D33:J33">SUM(D8+D13+D18+D23+D28)</f>
        <v>20835389</v>
      </c>
      <c r="E33" s="312">
        <f t="shared" si="1"/>
        <v>26834835</v>
      </c>
      <c r="F33" s="312">
        <f t="shared" si="1"/>
        <v>98766</v>
      </c>
      <c r="G33" s="313">
        <f t="shared" si="1"/>
        <v>2878193</v>
      </c>
      <c r="H33" s="348">
        <f t="shared" si="1"/>
        <v>52094203</v>
      </c>
      <c r="I33" s="315">
        <v>5393000</v>
      </c>
      <c r="J33" s="314">
        <f t="shared" si="1"/>
        <v>57487203</v>
      </c>
      <c r="K33" s="316"/>
    </row>
    <row r="34" spans="1:11" ht="12.75">
      <c r="A34" s="287"/>
      <c r="B34" s="317" t="s">
        <v>267</v>
      </c>
      <c r="C34" s="311">
        <f>SUM(C9+C14+C19+C24+C29)</f>
        <v>1594813</v>
      </c>
      <c r="D34" s="312">
        <f>SUM(D9+D14+D19+D24+D29)</f>
        <v>25819533</v>
      </c>
      <c r="E34" s="312">
        <f>SUM(E9+E14+E19+E24+E29)</f>
        <v>26026798</v>
      </c>
      <c r="F34" s="312">
        <f>SUM(F9+F14+F19+F24+F29)</f>
        <v>104011</v>
      </c>
      <c r="G34" s="313">
        <f>SUM(G9+G14+G19+G24+G29)</f>
        <v>2476753</v>
      </c>
      <c r="H34" s="348">
        <f>SUM(C34:G34)</f>
        <v>56021908</v>
      </c>
      <c r="I34" s="315">
        <v>7980201</v>
      </c>
      <c r="J34" s="314">
        <f>SUM(H34+I34)</f>
        <v>64002109</v>
      </c>
      <c r="K34" s="316"/>
    </row>
    <row r="35" spans="1:11" ht="12.75">
      <c r="A35" s="287"/>
      <c r="B35" s="342" t="s">
        <v>268</v>
      </c>
      <c r="C35" s="318">
        <f>SUM(C10+C15+C20+C25+C30)</f>
        <v>1423189</v>
      </c>
      <c r="D35" s="319">
        <f aca="true" t="shared" si="2" ref="D35:I35">SUM(D10+D15+D20+D25+D30)</f>
        <v>25617056</v>
      </c>
      <c r="E35" s="319">
        <f t="shared" si="2"/>
        <v>25850533</v>
      </c>
      <c r="F35" s="319">
        <f t="shared" si="2"/>
        <v>101127</v>
      </c>
      <c r="G35" s="320">
        <f t="shared" si="2"/>
        <v>2457697</v>
      </c>
      <c r="H35" s="349">
        <f>SUM(H10+H15+H20+H25+H30)</f>
        <v>55449602</v>
      </c>
      <c r="I35" s="350">
        <f t="shared" si="2"/>
        <v>7969141</v>
      </c>
      <c r="J35" s="321">
        <f>SUM(H35:I35)</f>
        <v>63418743</v>
      </c>
      <c r="K35" s="323"/>
    </row>
    <row r="36" spans="1:11" ht="13.5" thickBot="1">
      <c r="A36" s="287"/>
      <c r="B36" s="338" t="s">
        <v>269</v>
      </c>
      <c r="C36" s="351">
        <f aca="true" t="shared" si="3" ref="C36:J36">C35/C34*100</f>
        <v>89.23861292828688</v>
      </c>
      <c r="D36" s="352">
        <f t="shared" si="3"/>
        <v>99.215799139357</v>
      </c>
      <c r="E36" s="352">
        <f t="shared" si="3"/>
        <v>99.32275572277466</v>
      </c>
      <c r="F36" s="352">
        <f t="shared" si="3"/>
        <v>97.22721635211661</v>
      </c>
      <c r="G36" s="353">
        <f t="shared" si="3"/>
        <v>99.23060555493423</v>
      </c>
      <c r="H36" s="354">
        <f t="shared" si="3"/>
        <v>98.97842465486895</v>
      </c>
      <c r="I36" s="355">
        <f t="shared" si="3"/>
        <v>99.86140699964825</v>
      </c>
      <c r="J36" s="356">
        <f t="shared" si="3"/>
        <v>99.08852066109259</v>
      </c>
      <c r="K36" s="328"/>
    </row>
    <row r="37" spans="1:11" ht="12.75">
      <c r="A37" s="287"/>
      <c r="B37" s="342" t="s">
        <v>275</v>
      </c>
      <c r="C37" s="343">
        <v>0</v>
      </c>
      <c r="D37" s="344">
        <v>0</v>
      </c>
      <c r="E37" s="344">
        <v>0</v>
      </c>
      <c r="F37" s="344">
        <v>0</v>
      </c>
      <c r="G37" s="345">
        <v>0</v>
      </c>
      <c r="H37" s="357">
        <v>0</v>
      </c>
      <c r="I37" s="357">
        <v>0</v>
      </c>
      <c r="J37" s="358">
        <v>0</v>
      </c>
      <c r="K37" s="316"/>
    </row>
    <row r="38" spans="1:11" ht="12.75">
      <c r="A38" s="287"/>
      <c r="B38" s="310" t="s">
        <v>266</v>
      </c>
      <c r="C38" s="311">
        <v>2611186</v>
      </c>
      <c r="D38" s="312">
        <v>7848942</v>
      </c>
      <c r="E38" s="312">
        <v>49983446</v>
      </c>
      <c r="F38" s="312">
        <v>263186</v>
      </c>
      <c r="G38" s="313">
        <v>106037</v>
      </c>
      <c r="H38" s="348">
        <f>SUM(C38:G38)</f>
        <v>60812797</v>
      </c>
      <c r="I38" s="348"/>
      <c r="J38" s="314">
        <f>SUM(H38:I38)</f>
        <v>60812797</v>
      </c>
      <c r="K38" s="316"/>
    </row>
    <row r="39" spans="1:11" ht="12.75">
      <c r="A39" s="287"/>
      <c r="B39" s="317" t="s">
        <v>267</v>
      </c>
      <c r="C39" s="311">
        <v>2713681</v>
      </c>
      <c r="D39" s="312">
        <v>7826194</v>
      </c>
      <c r="E39" s="312">
        <v>51071396</v>
      </c>
      <c r="F39" s="312">
        <v>244836</v>
      </c>
      <c r="G39" s="313">
        <v>141784</v>
      </c>
      <c r="H39" s="348">
        <f>SUM(C39:G39)</f>
        <v>61997891</v>
      </c>
      <c r="I39" s="348"/>
      <c r="J39" s="314">
        <f>SUM(H39+I39)</f>
        <v>61997891</v>
      </c>
      <c r="K39" s="316"/>
    </row>
    <row r="40" spans="1:11" ht="12.75">
      <c r="A40" s="287"/>
      <c r="B40" s="342" t="s">
        <v>268</v>
      </c>
      <c r="C40" s="318">
        <v>2608094</v>
      </c>
      <c r="D40" s="319">
        <v>7514056</v>
      </c>
      <c r="E40" s="319">
        <v>50843676</v>
      </c>
      <c r="F40" s="319">
        <v>232030</v>
      </c>
      <c r="G40" s="320">
        <v>135684</v>
      </c>
      <c r="H40" s="349">
        <f>SUM(C40:G40)</f>
        <v>61333540</v>
      </c>
      <c r="I40" s="349"/>
      <c r="J40" s="321">
        <f>SUM(H40:I40)</f>
        <v>61333540</v>
      </c>
      <c r="K40" s="323"/>
    </row>
    <row r="41" spans="1:11" ht="13.5" thickBot="1">
      <c r="A41" s="287"/>
      <c r="B41" s="338" t="s">
        <v>269</v>
      </c>
      <c r="C41" s="351">
        <f aca="true" t="shared" si="4" ref="C41:H41">C40/C39*100</f>
        <v>96.10908577684702</v>
      </c>
      <c r="D41" s="352">
        <f t="shared" si="4"/>
        <v>96.01162455211308</v>
      </c>
      <c r="E41" s="352">
        <f t="shared" si="4"/>
        <v>99.55411440094569</v>
      </c>
      <c r="F41" s="352">
        <f t="shared" si="4"/>
        <v>94.76956003202145</v>
      </c>
      <c r="G41" s="353">
        <f t="shared" si="4"/>
        <v>95.69768097951814</v>
      </c>
      <c r="H41" s="354">
        <f t="shared" si="4"/>
        <v>98.92842967835793</v>
      </c>
      <c r="I41" s="354"/>
      <c r="J41" s="327">
        <f>J40/J39*100</f>
        <v>98.92842967835793</v>
      </c>
      <c r="K41" s="328"/>
    </row>
    <row r="42" spans="1:11" ht="12.75">
      <c r="A42" s="287"/>
      <c r="B42" s="342" t="s">
        <v>276</v>
      </c>
      <c r="C42" s="343">
        <v>0</v>
      </c>
      <c r="D42" s="344">
        <v>0</v>
      </c>
      <c r="E42" s="344">
        <v>0</v>
      </c>
      <c r="F42" s="344">
        <v>0</v>
      </c>
      <c r="G42" s="345">
        <v>0</v>
      </c>
      <c r="H42" s="357">
        <v>0</v>
      </c>
      <c r="I42" s="357">
        <v>0</v>
      </c>
      <c r="J42" s="347">
        <v>0</v>
      </c>
      <c r="K42" s="316"/>
    </row>
    <row r="43" spans="1:11" ht="12.75">
      <c r="A43" s="287"/>
      <c r="B43" s="310" t="s">
        <v>266</v>
      </c>
      <c r="C43" s="311">
        <f aca="true" t="shared" si="5" ref="C43:G45">SUM(C33+C38)</f>
        <v>4058206</v>
      </c>
      <c r="D43" s="312">
        <f t="shared" si="5"/>
        <v>28684331</v>
      </c>
      <c r="E43" s="312">
        <f t="shared" si="5"/>
        <v>76818281</v>
      </c>
      <c r="F43" s="312">
        <f t="shared" si="5"/>
        <v>361952</v>
      </c>
      <c r="G43" s="313">
        <f t="shared" si="5"/>
        <v>2984230</v>
      </c>
      <c r="H43" s="348">
        <f>SUM(C43:G43)</f>
        <v>112907000</v>
      </c>
      <c r="I43" s="348">
        <f>I33+I38</f>
        <v>5393000</v>
      </c>
      <c r="J43" s="314">
        <f>SUM(H43:I43)</f>
        <v>118300000</v>
      </c>
      <c r="K43" s="316"/>
    </row>
    <row r="44" spans="1:11" ht="12.75">
      <c r="A44" s="287"/>
      <c r="B44" s="317" t="s">
        <v>267</v>
      </c>
      <c r="C44" s="311">
        <f t="shared" si="5"/>
        <v>4308494</v>
      </c>
      <c r="D44" s="312">
        <f t="shared" si="5"/>
        <v>33645727</v>
      </c>
      <c r="E44" s="312">
        <f t="shared" si="5"/>
        <v>77098194</v>
      </c>
      <c r="F44" s="312">
        <f t="shared" si="5"/>
        <v>348847</v>
      </c>
      <c r="G44" s="313">
        <f t="shared" si="5"/>
        <v>2618537</v>
      </c>
      <c r="H44" s="348">
        <f>SUM(C44:G44)</f>
        <v>118019799</v>
      </c>
      <c r="I44" s="348">
        <f>I34+I39</f>
        <v>7980201</v>
      </c>
      <c r="J44" s="314">
        <f>SUM(H44:I44)</f>
        <v>126000000</v>
      </c>
      <c r="K44" s="316"/>
    </row>
    <row r="45" spans="1:11" ht="12.75">
      <c r="A45" s="287"/>
      <c r="B45" s="342" t="s">
        <v>268</v>
      </c>
      <c r="C45" s="318">
        <f t="shared" si="5"/>
        <v>4031283</v>
      </c>
      <c r="D45" s="319">
        <f t="shared" si="5"/>
        <v>33131112</v>
      </c>
      <c r="E45" s="319">
        <f t="shared" si="5"/>
        <v>76694209</v>
      </c>
      <c r="F45" s="319">
        <f t="shared" si="5"/>
        <v>333157</v>
      </c>
      <c r="G45" s="320">
        <f t="shared" si="5"/>
        <v>2593381</v>
      </c>
      <c r="H45" s="349">
        <f>SUM(C45:G45)</f>
        <v>116783142</v>
      </c>
      <c r="I45" s="349">
        <f>I35+I40</f>
        <v>7969141</v>
      </c>
      <c r="J45" s="321">
        <f>SUM(H45:I45)</f>
        <v>124752283</v>
      </c>
      <c r="K45" s="323"/>
    </row>
    <row r="46" spans="1:11" ht="13.5" thickBot="1">
      <c r="A46" s="287"/>
      <c r="B46" s="338" t="s">
        <v>269</v>
      </c>
      <c r="C46" s="351">
        <f aca="true" t="shared" si="6" ref="C46:J46">C45/C44*100</f>
        <v>93.56594206699603</v>
      </c>
      <c r="D46" s="352">
        <f t="shared" si="6"/>
        <v>98.47048928382496</v>
      </c>
      <c r="E46" s="352">
        <f t="shared" si="6"/>
        <v>99.47601236936886</v>
      </c>
      <c r="F46" s="352">
        <f t="shared" si="6"/>
        <v>95.50232623471034</v>
      </c>
      <c r="G46" s="353">
        <f t="shared" si="6"/>
        <v>99.0393108823744</v>
      </c>
      <c r="H46" s="354">
        <f t="shared" si="6"/>
        <v>98.95216140810408</v>
      </c>
      <c r="I46" s="355">
        <f t="shared" si="6"/>
        <v>99.86140699964825</v>
      </c>
      <c r="J46" s="356">
        <f t="shared" si="6"/>
        <v>99.00974841269841</v>
      </c>
      <c r="K46" s="328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I1">
      <selection activeCell="D7" sqref="D7"/>
    </sheetView>
  </sheetViews>
  <sheetFormatPr defaultColWidth="9.140625" defaultRowHeight="12.75"/>
  <cols>
    <col min="1" max="16384" width="9.140625" style="79" customWidth="1"/>
  </cols>
  <sheetData/>
  <sheetProtection/>
  <printOptions/>
  <pageMargins left="0.7086614173228347" right="0.7086614173228347" top="0.45" bottom="0.48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8515625" style="359" customWidth="1"/>
    <col min="2" max="3" width="10.57421875" style="359" customWidth="1"/>
    <col min="4" max="4" width="9.8515625" style="359" customWidth="1"/>
    <col min="5" max="5" width="9.28125" style="359" customWidth="1"/>
    <col min="6" max="6" width="73.7109375" style="359" customWidth="1"/>
    <col min="7" max="7" width="22.7109375" style="359" customWidth="1"/>
    <col min="8" max="8" width="22.00390625" style="496" customWidth="1"/>
    <col min="9" max="9" width="22.7109375" style="359" customWidth="1"/>
    <col min="10" max="10" width="13.8515625" style="359" customWidth="1"/>
    <col min="11" max="16384" width="9.140625" style="359" customWidth="1"/>
  </cols>
  <sheetData>
    <row r="1" spans="7:8" ht="15">
      <c r="G1" s="360"/>
      <c r="H1" s="361"/>
    </row>
    <row r="3" spans="1:9" ht="22.5">
      <c r="A3" s="362" t="s">
        <v>277</v>
      </c>
      <c r="B3" s="363"/>
      <c r="C3" s="363"/>
      <c r="D3" s="363"/>
      <c r="E3" s="363"/>
      <c r="F3" s="363"/>
      <c r="G3" s="363"/>
      <c r="H3" s="364"/>
      <c r="I3" s="365"/>
    </row>
    <row r="4" spans="1:9" ht="24.75" customHeight="1">
      <c r="A4" s="362" t="s">
        <v>278</v>
      </c>
      <c r="B4" s="362"/>
      <c r="C4" s="362"/>
      <c r="D4" s="362"/>
      <c r="E4" s="366"/>
      <c r="F4" s="366"/>
      <c r="G4" s="365"/>
      <c r="H4" s="367"/>
      <c r="I4" s="365"/>
    </row>
    <row r="5" spans="2:10" ht="15" thickBot="1">
      <c r="B5" s="368"/>
      <c r="C5" s="368"/>
      <c r="G5" s="369"/>
      <c r="H5" s="370"/>
      <c r="I5" s="360"/>
      <c r="J5" s="371" t="s">
        <v>243</v>
      </c>
    </row>
    <row r="6" spans="1:10" ht="24" customHeight="1">
      <c r="A6" s="372" t="s">
        <v>279</v>
      </c>
      <c r="B6" s="373" t="s">
        <v>280</v>
      </c>
      <c r="C6" s="374"/>
      <c r="D6" s="374"/>
      <c r="E6" s="375"/>
      <c r="F6" s="376" t="s">
        <v>281</v>
      </c>
      <c r="G6" s="376" t="s">
        <v>282</v>
      </c>
      <c r="H6" s="377" t="s">
        <v>283</v>
      </c>
      <c r="I6" s="376" t="s">
        <v>284</v>
      </c>
      <c r="J6" s="376" t="s">
        <v>285</v>
      </c>
    </row>
    <row r="7" spans="1:10" ht="17.25" customHeight="1">
      <c r="A7" s="378" t="s">
        <v>286</v>
      </c>
      <c r="B7" s="379" t="s">
        <v>287</v>
      </c>
      <c r="C7" s="380" t="s">
        <v>288</v>
      </c>
      <c r="D7" s="381" t="s">
        <v>289</v>
      </c>
      <c r="E7" s="382" t="s">
        <v>290</v>
      </c>
      <c r="F7" s="383"/>
      <c r="G7" s="384" t="s">
        <v>291</v>
      </c>
      <c r="H7" s="385" t="s">
        <v>292</v>
      </c>
      <c r="I7" s="384" t="s">
        <v>293</v>
      </c>
      <c r="J7" s="384" t="s">
        <v>294</v>
      </c>
    </row>
    <row r="8" spans="1:10" ht="13.5">
      <c r="A8" s="386" t="s">
        <v>295</v>
      </c>
      <c r="B8" s="387" t="s">
        <v>296</v>
      </c>
      <c r="C8" s="380"/>
      <c r="D8" s="380"/>
      <c r="E8" s="388" t="s">
        <v>297</v>
      </c>
      <c r="F8" s="389"/>
      <c r="G8" s="384" t="s">
        <v>298</v>
      </c>
      <c r="H8" s="385" t="s">
        <v>298</v>
      </c>
      <c r="I8" s="390"/>
      <c r="J8" s="391" t="s">
        <v>299</v>
      </c>
    </row>
    <row r="9" spans="1:10" ht="14.25" thickBot="1">
      <c r="A9" s="386" t="s">
        <v>300</v>
      </c>
      <c r="B9" s="392"/>
      <c r="C9" s="393"/>
      <c r="D9" s="393"/>
      <c r="E9" s="394"/>
      <c r="F9" s="395"/>
      <c r="G9" s="390"/>
      <c r="H9" s="396"/>
      <c r="I9" s="397"/>
      <c r="J9" s="398"/>
    </row>
    <row r="10" spans="1:10" ht="14.25" thickBot="1">
      <c r="A10" s="399" t="s">
        <v>0</v>
      </c>
      <c r="B10" s="400" t="s">
        <v>301</v>
      </c>
      <c r="C10" s="401" t="s">
        <v>302</v>
      </c>
      <c r="D10" s="401" t="s">
        <v>303</v>
      </c>
      <c r="E10" s="402" t="s">
        <v>304</v>
      </c>
      <c r="F10" s="402" t="s">
        <v>305</v>
      </c>
      <c r="G10" s="402">
        <v>1</v>
      </c>
      <c r="H10" s="403">
        <v>2</v>
      </c>
      <c r="I10" s="402">
        <v>3</v>
      </c>
      <c r="J10" s="402">
        <v>4</v>
      </c>
    </row>
    <row r="11" spans="1:10" ht="24.75" customHeight="1">
      <c r="A11" s="404" t="s">
        <v>306</v>
      </c>
      <c r="B11" s="405" t="s">
        <v>307</v>
      </c>
      <c r="C11" s="406"/>
      <c r="D11" s="407"/>
      <c r="E11" s="408"/>
      <c r="F11" s="409" t="s">
        <v>262</v>
      </c>
      <c r="G11" s="410">
        <f>SUM(G12+G20+G32+G87)</f>
        <v>112907000</v>
      </c>
      <c r="H11" s="411">
        <f>SUM(H12+H20+H32+H87)</f>
        <v>118019799</v>
      </c>
      <c r="I11" s="410">
        <f>SUM(I12+I20+I32+I87)</f>
        <v>116783142</v>
      </c>
      <c r="J11" s="412">
        <f aca="true" t="shared" si="0" ref="J11:J17">SUM($I11/H11)*100</f>
        <v>98.95216140810408</v>
      </c>
    </row>
    <row r="12" spans="1:10" ht="18.75" customHeight="1">
      <c r="A12" s="413" t="s">
        <v>306</v>
      </c>
      <c r="B12" s="414"/>
      <c r="C12" s="415" t="s">
        <v>308</v>
      </c>
      <c r="D12" s="415"/>
      <c r="E12" s="416"/>
      <c r="F12" s="417" t="s">
        <v>309</v>
      </c>
      <c r="G12" s="418">
        <f>SUM(G13+G14+G16+G17+G18+G19)</f>
        <v>52881000</v>
      </c>
      <c r="H12" s="419">
        <f>SUM(H13+H14+H16+H17+H18+H19)</f>
        <v>53229000</v>
      </c>
      <c r="I12" s="418">
        <f>SUM(I13+I14+I16+I17+I18+I19)</f>
        <v>53227887</v>
      </c>
      <c r="J12" s="420">
        <f t="shared" si="0"/>
        <v>99.99790903454884</v>
      </c>
    </row>
    <row r="13" spans="1:10" ht="18.75" customHeight="1">
      <c r="A13" s="421" t="s">
        <v>306</v>
      </c>
      <c r="B13" s="414"/>
      <c r="C13" s="415"/>
      <c r="D13" s="422" t="s">
        <v>310</v>
      </c>
      <c r="E13" s="423"/>
      <c r="F13" s="424" t="s">
        <v>311</v>
      </c>
      <c r="G13" s="425">
        <v>48706255</v>
      </c>
      <c r="H13" s="426">
        <v>48187768</v>
      </c>
      <c r="I13" s="425">
        <v>48186773</v>
      </c>
      <c r="J13" s="427">
        <f t="shared" si="0"/>
        <v>99.99793516064076</v>
      </c>
    </row>
    <row r="14" spans="1:10" ht="18.75" customHeight="1">
      <c r="A14" s="421" t="s">
        <v>306</v>
      </c>
      <c r="B14" s="414"/>
      <c r="C14" s="415"/>
      <c r="D14" s="422" t="s">
        <v>312</v>
      </c>
      <c r="E14" s="423"/>
      <c r="F14" s="424" t="s">
        <v>313</v>
      </c>
      <c r="G14" s="425">
        <f>SUM(G15:G15)</f>
        <v>253660</v>
      </c>
      <c r="H14" s="426">
        <f>SUM(H15:H15)</f>
        <v>242486</v>
      </c>
      <c r="I14" s="425">
        <f>SUM(I15:I15)</f>
        <v>242434</v>
      </c>
      <c r="J14" s="427">
        <f t="shared" si="0"/>
        <v>99.9785554629958</v>
      </c>
    </row>
    <row r="15" spans="1:10" ht="18.75" customHeight="1">
      <c r="A15" s="428" t="s">
        <v>306</v>
      </c>
      <c r="B15" s="429"/>
      <c r="C15" s="430"/>
      <c r="D15" s="431"/>
      <c r="E15" s="432" t="s">
        <v>314</v>
      </c>
      <c r="F15" s="433" t="s">
        <v>315</v>
      </c>
      <c r="G15" s="434">
        <v>253660</v>
      </c>
      <c r="H15" s="435">
        <v>242486</v>
      </c>
      <c r="I15" s="434">
        <v>242434</v>
      </c>
      <c r="J15" s="436">
        <f t="shared" si="0"/>
        <v>99.9785554629958</v>
      </c>
    </row>
    <row r="16" spans="1:10" ht="18.75" customHeight="1">
      <c r="A16" s="421" t="s">
        <v>306</v>
      </c>
      <c r="B16" s="414"/>
      <c r="C16" s="415"/>
      <c r="D16" s="422" t="s">
        <v>316</v>
      </c>
      <c r="E16" s="423"/>
      <c r="F16" s="424" t="s">
        <v>317</v>
      </c>
      <c r="G16" s="425">
        <v>12845</v>
      </c>
      <c r="H16" s="426">
        <v>8398</v>
      </c>
      <c r="I16" s="425">
        <v>8377</v>
      </c>
      <c r="J16" s="427">
        <f t="shared" si="0"/>
        <v>99.74994046201476</v>
      </c>
    </row>
    <row r="17" spans="1:10" ht="18.75" customHeight="1">
      <c r="A17" s="421" t="s">
        <v>306</v>
      </c>
      <c r="B17" s="414"/>
      <c r="C17" s="415"/>
      <c r="D17" s="422" t="s">
        <v>318</v>
      </c>
      <c r="E17" s="423"/>
      <c r="F17" s="424" t="s">
        <v>319</v>
      </c>
      <c r="G17" s="425">
        <v>3908240</v>
      </c>
      <c r="H17" s="426">
        <v>4790348</v>
      </c>
      <c r="I17" s="425">
        <v>4790303</v>
      </c>
      <c r="J17" s="427">
        <f t="shared" si="0"/>
        <v>99.99906061104538</v>
      </c>
    </row>
    <row r="18" spans="1:10" ht="18.75" customHeight="1" hidden="1">
      <c r="A18" s="421"/>
      <c r="B18" s="414"/>
      <c r="C18" s="415"/>
      <c r="D18" s="422" t="s">
        <v>320</v>
      </c>
      <c r="E18" s="423"/>
      <c r="F18" s="424" t="s">
        <v>321</v>
      </c>
      <c r="G18" s="425">
        <v>0</v>
      </c>
      <c r="H18" s="426">
        <v>0</v>
      </c>
      <c r="I18" s="425">
        <v>0</v>
      </c>
      <c r="J18" s="427">
        <v>0</v>
      </c>
    </row>
    <row r="19" spans="1:10" ht="18.75" customHeight="1" hidden="1">
      <c r="A19" s="421"/>
      <c r="B19" s="414"/>
      <c r="C19" s="415"/>
      <c r="D19" s="422" t="s">
        <v>322</v>
      </c>
      <c r="E19" s="423"/>
      <c r="F19" s="424" t="s">
        <v>323</v>
      </c>
      <c r="G19" s="425">
        <v>0</v>
      </c>
      <c r="H19" s="426">
        <v>0</v>
      </c>
      <c r="I19" s="425">
        <v>0</v>
      </c>
      <c r="J19" s="427">
        <v>0</v>
      </c>
    </row>
    <row r="20" spans="1:10" ht="18.75" customHeight="1">
      <c r="A20" s="413" t="s">
        <v>306</v>
      </c>
      <c r="B20" s="437"/>
      <c r="C20" s="438" t="s">
        <v>324</v>
      </c>
      <c r="D20" s="438"/>
      <c r="E20" s="439"/>
      <c r="F20" s="440" t="s">
        <v>325</v>
      </c>
      <c r="G20" s="441">
        <f>SUM(G21+G22+G23+G31)</f>
        <v>20507804</v>
      </c>
      <c r="H20" s="442">
        <f>SUM(H21+H22+H23+H31)</f>
        <v>20604000</v>
      </c>
      <c r="I20" s="442">
        <f>SUM(I21+I22+I23+I31)</f>
        <v>20324309</v>
      </c>
      <c r="J20" s="420">
        <f aca="true" t="shared" si="1" ref="J20:J66">SUM($I20/H20)*100</f>
        <v>98.6425402834401</v>
      </c>
    </row>
    <row r="21" spans="1:10" ht="18.75" customHeight="1">
      <c r="A21" s="421" t="s">
        <v>306</v>
      </c>
      <c r="B21" s="429"/>
      <c r="C21" s="430"/>
      <c r="D21" s="443" t="s">
        <v>326</v>
      </c>
      <c r="E21" s="444"/>
      <c r="F21" s="445" t="s">
        <v>327</v>
      </c>
      <c r="G21" s="425">
        <f>3991137+2800</f>
        <v>3993937</v>
      </c>
      <c r="H21" s="426">
        <v>4079658</v>
      </c>
      <c r="I21" s="425">
        <v>4070733</v>
      </c>
      <c r="J21" s="427">
        <f t="shared" si="1"/>
        <v>99.78123166206579</v>
      </c>
    </row>
    <row r="22" spans="1:10" ht="18.75" customHeight="1">
      <c r="A22" s="421" t="s">
        <v>306</v>
      </c>
      <c r="B22" s="429"/>
      <c r="C22" s="430"/>
      <c r="D22" s="443" t="s">
        <v>328</v>
      </c>
      <c r="E22" s="444"/>
      <c r="F22" s="445" t="s">
        <v>329</v>
      </c>
      <c r="G22" s="425">
        <f>1370011+5200</f>
        <v>1375211</v>
      </c>
      <c r="H22" s="426">
        <v>1372020</v>
      </c>
      <c r="I22" s="425">
        <f>1333399+38</f>
        <v>1333437</v>
      </c>
      <c r="J22" s="427">
        <f t="shared" si="1"/>
        <v>97.18786898150172</v>
      </c>
    </row>
    <row r="23" spans="1:10" ht="18.75" customHeight="1">
      <c r="A23" s="421" t="s">
        <v>306</v>
      </c>
      <c r="B23" s="429"/>
      <c r="C23" s="430"/>
      <c r="D23" s="443" t="s">
        <v>330</v>
      </c>
      <c r="E23" s="444"/>
      <c r="F23" s="445" t="s">
        <v>331</v>
      </c>
      <c r="G23" s="425">
        <f>SUM(G24:G30)</f>
        <v>13262246</v>
      </c>
      <c r="H23" s="426">
        <f>SUM(H24:H30)</f>
        <v>13525718</v>
      </c>
      <c r="I23" s="425">
        <f>SUM(I24:I30)</f>
        <v>13421585</v>
      </c>
      <c r="J23" s="427">
        <f t="shared" si="1"/>
        <v>99.23011111129185</v>
      </c>
    </row>
    <row r="24" spans="1:10" ht="18.75" customHeight="1">
      <c r="A24" s="428" t="s">
        <v>306</v>
      </c>
      <c r="B24" s="429"/>
      <c r="C24" s="430"/>
      <c r="D24" s="431"/>
      <c r="E24" s="432" t="s">
        <v>332</v>
      </c>
      <c r="F24" s="446" t="s">
        <v>333</v>
      </c>
      <c r="G24" s="434">
        <f>750575+1120</f>
        <v>751695</v>
      </c>
      <c r="H24" s="435">
        <v>761100</v>
      </c>
      <c r="I24" s="447">
        <v>750393</v>
      </c>
      <c r="J24" s="436">
        <f t="shared" si="1"/>
        <v>98.59322033898306</v>
      </c>
    </row>
    <row r="25" spans="1:10" ht="18.75" customHeight="1">
      <c r="A25" s="428" t="s">
        <v>306</v>
      </c>
      <c r="B25" s="429"/>
      <c r="C25" s="430"/>
      <c r="D25" s="431"/>
      <c r="E25" s="432" t="s">
        <v>334</v>
      </c>
      <c r="F25" s="433" t="s">
        <v>335</v>
      </c>
      <c r="G25" s="434">
        <f>7398358+11200</f>
        <v>7409558</v>
      </c>
      <c r="H25" s="435">
        <v>7563375</v>
      </c>
      <c r="I25" s="447">
        <f>7507305+3387</f>
        <v>7510692</v>
      </c>
      <c r="J25" s="436">
        <f t="shared" si="1"/>
        <v>99.30344588229461</v>
      </c>
    </row>
    <row r="26" spans="1:10" ht="18.75" customHeight="1">
      <c r="A26" s="428" t="s">
        <v>306</v>
      </c>
      <c r="B26" s="429"/>
      <c r="C26" s="430"/>
      <c r="D26" s="431"/>
      <c r="E26" s="432" t="s">
        <v>336</v>
      </c>
      <c r="F26" s="448" t="s">
        <v>337</v>
      </c>
      <c r="G26" s="434">
        <f>428905+640</f>
        <v>429545</v>
      </c>
      <c r="H26" s="435">
        <v>436174</v>
      </c>
      <c r="I26" s="447">
        <v>431697</v>
      </c>
      <c r="J26" s="436">
        <f t="shared" si="1"/>
        <v>98.97357476603374</v>
      </c>
    </row>
    <row r="27" spans="1:10" ht="18.75" customHeight="1">
      <c r="A27" s="428" t="s">
        <v>306</v>
      </c>
      <c r="B27" s="429"/>
      <c r="C27" s="430"/>
      <c r="D27" s="431"/>
      <c r="E27" s="432" t="s">
        <v>338</v>
      </c>
      <c r="F27" s="448" t="s">
        <v>339</v>
      </c>
      <c r="G27" s="434">
        <f>1554743+2400</f>
        <v>1557143</v>
      </c>
      <c r="H27" s="435">
        <v>1564612</v>
      </c>
      <c r="I27" s="447">
        <f>1527072+6745</f>
        <v>1533817</v>
      </c>
      <c r="J27" s="436">
        <f t="shared" si="1"/>
        <v>98.03178040306479</v>
      </c>
    </row>
    <row r="28" spans="1:10" ht="18.75" customHeight="1">
      <c r="A28" s="428" t="s">
        <v>306</v>
      </c>
      <c r="B28" s="429"/>
      <c r="C28" s="430"/>
      <c r="D28" s="431"/>
      <c r="E28" s="432" t="s">
        <v>340</v>
      </c>
      <c r="F28" s="448" t="s">
        <v>341</v>
      </c>
      <c r="G28" s="434">
        <f>509326+800</f>
        <v>510126</v>
      </c>
      <c r="H28" s="435">
        <v>515217</v>
      </c>
      <c r="I28" s="447">
        <f>503581+9900</f>
        <v>513481</v>
      </c>
      <c r="J28" s="436">
        <f t="shared" si="1"/>
        <v>99.66305459641276</v>
      </c>
    </row>
    <row r="29" spans="1:10" ht="18.75" customHeight="1">
      <c r="A29" s="428" t="s">
        <v>306</v>
      </c>
      <c r="B29" s="429"/>
      <c r="C29" s="430"/>
      <c r="D29" s="431"/>
      <c r="E29" s="432" t="s">
        <v>342</v>
      </c>
      <c r="F29" s="448" t="s">
        <v>343</v>
      </c>
      <c r="G29" s="434">
        <f>134047+200</f>
        <v>134247</v>
      </c>
      <c r="H29" s="435">
        <v>136083</v>
      </c>
      <c r="I29" s="447">
        <v>134253</v>
      </c>
      <c r="J29" s="436">
        <f t="shared" si="1"/>
        <v>98.65523246842001</v>
      </c>
    </row>
    <row r="30" spans="1:10" ht="18.75" customHeight="1">
      <c r="A30" s="428" t="s">
        <v>306</v>
      </c>
      <c r="B30" s="429"/>
      <c r="C30" s="430"/>
      <c r="D30" s="431"/>
      <c r="E30" s="432" t="s">
        <v>344</v>
      </c>
      <c r="F30" s="448" t="s">
        <v>345</v>
      </c>
      <c r="G30" s="434">
        <f>2466132+3800</f>
        <v>2469932</v>
      </c>
      <c r="H30" s="435">
        <v>2549157</v>
      </c>
      <c r="I30" s="447">
        <v>2547252</v>
      </c>
      <c r="J30" s="436">
        <f t="shared" si="1"/>
        <v>99.92526941259405</v>
      </c>
    </row>
    <row r="31" spans="1:10" ht="18.75" customHeight="1">
      <c r="A31" s="421" t="s">
        <v>306</v>
      </c>
      <c r="B31" s="429"/>
      <c r="C31" s="430"/>
      <c r="D31" s="443" t="s">
        <v>346</v>
      </c>
      <c r="E31" s="449"/>
      <c r="F31" s="450" t="s">
        <v>347</v>
      </c>
      <c r="G31" s="425">
        <v>1876410</v>
      </c>
      <c r="H31" s="426">
        <v>1626604</v>
      </c>
      <c r="I31" s="425">
        <v>1498554</v>
      </c>
      <c r="J31" s="427">
        <f t="shared" si="1"/>
        <v>92.1277704960765</v>
      </c>
    </row>
    <row r="32" spans="1:10" ht="18.75" customHeight="1">
      <c r="A32" s="413" t="s">
        <v>306</v>
      </c>
      <c r="B32" s="437"/>
      <c r="C32" s="451" t="s">
        <v>348</v>
      </c>
      <c r="D32" s="438"/>
      <c r="E32" s="452"/>
      <c r="F32" s="440" t="s">
        <v>349</v>
      </c>
      <c r="G32" s="453">
        <f>SUM(G33+G37+G42+G52+G64+G58+G68)</f>
        <v>38624517</v>
      </c>
      <c r="H32" s="454">
        <f>SUM(H33+H37+H42+H52+H64+H58+H68)</f>
        <v>43434689</v>
      </c>
      <c r="I32" s="454">
        <f>SUM(I33+I37+I42+I52+I64+I58+I68)</f>
        <v>42565662</v>
      </c>
      <c r="J32" s="420">
        <f t="shared" si="1"/>
        <v>97.99923282517344</v>
      </c>
    </row>
    <row r="33" spans="1:10" ht="18.75" customHeight="1">
      <c r="A33" s="421" t="s">
        <v>306</v>
      </c>
      <c r="B33" s="455"/>
      <c r="C33" s="456"/>
      <c r="D33" s="422" t="s">
        <v>350</v>
      </c>
      <c r="E33" s="457"/>
      <c r="F33" s="424" t="s">
        <v>351</v>
      </c>
      <c r="G33" s="458">
        <f>SUM(G34:G36)</f>
        <v>192865</v>
      </c>
      <c r="H33" s="459">
        <f>SUM(H34:H36)</f>
        <v>185178</v>
      </c>
      <c r="I33" s="458">
        <f>SUM(I34:I36)</f>
        <v>168256</v>
      </c>
      <c r="J33" s="427">
        <f t="shared" si="1"/>
        <v>90.86176543649893</v>
      </c>
    </row>
    <row r="34" spans="1:10" ht="18.75" customHeight="1">
      <c r="A34" s="428" t="s">
        <v>306</v>
      </c>
      <c r="B34" s="455"/>
      <c r="C34" s="460"/>
      <c r="D34" s="461"/>
      <c r="E34" s="462">
        <v>631001</v>
      </c>
      <c r="F34" s="463" t="s">
        <v>352</v>
      </c>
      <c r="G34" s="464">
        <v>160233</v>
      </c>
      <c r="H34" s="465">
        <v>165837</v>
      </c>
      <c r="I34" s="464">
        <f>154757+295</f>
        <v>155052</v>
      </c>
      <c r="J34" s="436">
        <f t="shared" si="1"/>
        <v>93.49662620524974</v>
      </c>
    </row>
    <row r="35" spans="1:10" ht="18.75" customHeight="1">
      <c r="A35" s="428" t="s">
        <v>306</v>
      </c>
      <c r="B35" s="455"/>
      <c r="C35" s="460"/>
      <c r="D35" s="461"/>
      <c r="E35" s="462">
        <v>631002</v>
      </c>
      <c r="F35" s="463" t="s">
        <v>353</v>
      </c>
      <c r="G35" s="464">
        <v>30000</v>
      </c>
      <c r="H35" s="465">
        <v>17598</v>
      </c>
      <c r="I35" s="464">
        <v>11608</v>
      </c>
      <c r="J35" s="436">
        <f t="shared" si="1"/>
        <v>65.96204114103875</v>
      </c>
    </row>
    <row r="36" spans="1:10" ht="18.75" customHeight="1">
      <c r="A36" s="428" t="s">
        <v>306</v>
      </c>
      <c r="B36" s="455"/>
      <c r="C36" s="460"/>
      <c r="D36" s="461"/>
      <c r="E36" s="462">
        <v>631004</v>
      </c>
      <c r="F36" s="463" t="s">
        <v>354</v>
      </c>
      <c r="G36" s="464">
        <v>2632</v>
      </c>
      <c r="H36" s="465">
        <v>1743</v>
      </c>
      <c r="I36" s="464">
        <v>1596</v>
      </c>
      <c r="J36" s="436">
        <f t="shared" si="1"/>
        <v>91.56626506024097</v>
      </c>
    </row>
    <row r="37" spans="1:10" ht="18.75" customHeight="1">
      <c r="A37" s="421" t="s">
        <v>306</v>
      </c>
      <c r="B37" s="455"/>
      <c r="C37" s="456"/>
      <c r="D37" s="422" t="s">
        <v>355</v>
      </c>
      <c r="E37" s="457"/>
      <c r="F37" s="424" t="s">
        <v>356</v>
      </c>
      <c r="G37" s="458">
        <f>SUM(G38:G41)</f>
        <v>13917370</v>
      </c>
      <c r="H37" s="459">
        <f>SUM(H38:H41)</f>
        <v>13166266</v>
      </c>
      <c r="I37" s="458">
        <f>SUM(I38:I41)</f>
        <v>12874242</v>
      </c>
      <c r="J37" s="427">
        <f t="shared" si="1"/>
        <v>97.78202870882299</v>
      </c>
    </row>
    <row r="38" spans="1:10" ht="18.75" customHeight="1">
      <c r="A38" s="428" t="s">
        <v>306</v>
      </c>
      <c r="B38" s="455"/>
      <c r="C38" s="456"/>
      <c r="D38" s="466"/>
      <c r="E38" s="467">
        <v>632001</v>
      </c>
      <c r="F38" s="468" t="s">
        <v>357</v>
      </c>
      <c r="G38" s="464">
        <v>1874826</v>
      </c>
      <c r="H38" s="465">
        <v>1879190</v>
      </c>
      <c r="I38" s="464">
        <f>1708668+77740</f>
        <v>1786408</v>
      </c>
      <c r="J38" s="436">
        <f t="shared" si="1"/>
        <v>95.06265997584066</v>
      </c>
    </row>
    <row r="39" spans="1:10" ht="18.75" customHeight="1">
      <c r="A39" s="428" t="s">
        <v>306</v>
      </c>
      <c r="B39" s="455"/>
      <c r="C39" s="456"/>
      <c r="D39" s="466"/>
      <c r="E39" s="467">
        <v>632002</v>
      </c>
      <c r="F39" s="468" t="s">
        <v>358</v>
      </c>
      <c r="G39" s="464">
        <v>172295</v>
      </c>
      <c r="H39" s="465">
        <v>187291</v>
      </c>
      <c r="I39" s="464">
        <f>156364+767</f>
        <v>157131</v>
      </c>
      <c r="J39" s="436">
        <f t="shared" si="1"/>
        <v>83.89671687374192</v>
      </c>
    </row>
    <row r="40" spans="1:10" ht="18.75" customHeight="1">
      <c r="A40" s="428" t="s">
        <v>306</v>
      </c>
      <c r="B40" s="455"/>
      <c r="C40" s="456"/>
      <c r="D40" s="466"/>
      <c r="E40" s="467">
        <v>632003</v>
      </c>
      <c r="F40" s="469" t="s">
        <v>359</v>
      </c>
      <c r="G40" s="464">
        <v>10091249</v>
      </c>
      <c r="H40" s="465">
        <v>9346661</v>
      </c>
      <c r="I40" s="464">
        <f>9063180+114399</f>
        <v>9177579</v>
      </c>
      <c r="J40" s="436">
        <f t="shared" si="1"/>
        <v>98.19099034403837</v>
      </c>
    </row>
    <row r="41" spans="1:10" ht="18.75" customHeight="1">
      <c r="A41" s="428" t="s">
        <v>306</v>
      </c>
      <c r="B41" s="455"/>
      <c r="C41" s="456"/>
      <c r="D41" s="466"/>
      <c r="E41" s="467">
        <v>632004</v>
      </c>
      <c r="F41" s="469" t="s">
        <v>360</v>
      </c>
      <c r="G41" s="464">
        <v>1779000</v>
      </c>
      <c r="H41" s="465">
        <v>1753124</v>
      </c>
      <c r="I41" s="464">
        <f>1747599+5525</f>
        <v>1753124</v>
      </c>
      <c r="J41" s="436">
        <f t="shared" si="1"/>
        <v>100</v>
      </c>
    </row>
    <row r="42" spans="1:10" ht="18.75" customHeight="1">
      <c r="A42" s="421" t="s">
        <v>306</v>
      </c>
      <c r="B42" s="455"/>
      <c r="C42" s="456"/>
      <c r="D42" s="422" t="s">
        <v>361</v>
      </c>
      <c r="E42" s="457"/>
      <c r="F42" s="424" t="s">
        <v>362</v>
      </c>
      <c r="G42" s="458">
        <f>SUM(G43:G51)</f>
        <v>1911380</v>
      </c>
      <c r="H42" s="459">
        <f>SUM(H43:H51)</f>
        <v>2834627</v>
      </c>
      <c r="I42" s="458">
        <f>SUM(I43:I51)</f>
        <v>2685024</v>
      </c>
      <c r="J42" s="427">
        <f t="shared" si="1"/>
        <v>94.72230385161787</v>
      </c>
    </row>
    <row r="43" spans="1:10" ht="18.75" customHeight="1">
      <c r="A43" s="428" t="s">
        <v>306</v>
      </c>
      <c r="B43" s="455"/>
      <c r="C43" s="456"/>
      <c r="D43" s="470"/>
      <c r="E43" s="471" t="s">
        <v>363</v>
      </c>
      <c r="F43" s="472" t="s">
        <v>364</v>
      </c>
      <c r="G43" s="447">
        <v>126801</v>
      </c>
      <c r="H43" s="473">
        <v>206371</v>
      </c>
      <c r="I43" s="447">
        <v>131751</v>
      </c>
      <c r="J43" s="436">
        <f t="shared" si="1"/>
        <v>63.84181886020808</v>
      </c>
    </row>
    <row r="44" spans="1:10" ht="18.75" customHeight="1">
      <c r="A44" s="428" t="s">
        <v>306</v>
      </c>
      <c r="B44" s="455"/>
      <c r="C44" s="456"/>
      <c r="D44" s="470"/>
      <c r="E44" s="471" t="s">
        <v>365</v>
      </c>
      <c r="F44" s="472" t="s">
        <v>366</v>
      </c>
      <c r="G44" s="447">
        <v>20000</v>
      </c>
      <c r="H44" s="473">
        <v>28103</v>
      </c>
      <c r="I44" s="447">
        <v>28068</v>
      </c>
      <c r="J44" s="436">
        <f t="shared" si="1"/>
        <v>99.87545813614204</v>
      </c>
    </row>
    <row r="45" spans="1:10" ht="18.75" customHeight="1">
      <c r="A45" s="428" t="s">
        <v>306</v>
      </c>
      <c r="B45" s="455"/>
      <c r="C45" s="456"/>
      <c r="D45" s="470"/>
      <c r="E45" s="471" t="s">
        <v>367</v>
      </c>
      <c r="F45" s="472" t="s">
        <v>368</v>
      </c>
      <c r="G45" s="447">
        <v>700</v>
      </c>
      <c r="H45" s="473">
        <v>730</v>
      </c>
      <c r="I45" s="447">
        <v>726</v>
      </c>
      <c r="J45" s="436">
        <f t="shared" si="1"/>
        <v>99.45205479452055</v>
      </c>
    </row>
    <row r="46" spans="1:10" ht="18.75" customHeight="1">
      <c r="A46" s="428" t="s">
        <v>306</v>
      </c>
      <c r="B46" s="455"/>
      <c r="C46" s="456"/>
      <c r="D46" s="470"/>
      <c r="E46" s="471" t="s">
        <v>369</v>
      </c>
      <c r="F46" s="472" t="s">
        <v>370</v>
      </c>
      <c r="G46" s="447">
        <v>25061</v>
      </c>
      <c r="H46" s="473">
        <v>31476</v>
      </c>
      <c r="I46" s="447">
        <v>8907</v>
      </c>
      <c r="J46" s="436">
        <f t="shared" si="1"/>
        <v>28.29775066717499</v>
      </c>
    </row>
    <row r="47" spans="1:10" ht="18.75" customHeight="1">
      <c r="A47" s="428" t="s">
        <v>306</v>
      </c>
      <c r="B47" s="455"/>
      <c r="C47" s="456"/>
      <c r="D47" s="470"/>
      <c r="E47" s="471" t="s">
        <v>371</v>
      </c>
      <c r="F47" s="472" t="s">
        <v>372</v>
      </c>
      <c r="G47" s="447">
        <v>1666390</v>
      </c>
      <c r="H47" s="473">
        <v>1790287</v>
      </c>
      <c r="I47" s="447">
        <f>1658198+99099</f>
        <v>1757297</v>
      </c>
      <c r="J47" s="436">
        <f t="shared" si="1"/>
        <v>98.15727869330448</v>
      </c>
    </row>
    <row r="48" spans="1:10" ht="18.75" customHeight="1">
      <c r="A48" s="428" t="s">
        <v>306</v>
      </c>
      <c r="B48" s="455"/>
      <c r="C48" s="456"/>
      <c r="D48" s="470"/>
      <c r="E48" s="471" t="s">
        <v>373</v>
      </c>
      <c r="F48" s="472" t="s">
        <v>374</v>
      </c>
      <c r="G48" s="447">
        <v>19912</v>
      </c>
      <c r="H48" s="473">
        <v>19731</v>
      </c>
      <c r="I48" s="447">
        <f>4133+7536</f>
        <v>11669</v>
      </c>
      <c r="J48" s="436">
        <f t="shared" si="1"/>
        <v>59.14043890324869</v>
      </c>
    </row>
    <row r="49" spans="1:10" ht="18.75" customHeight="1">
      <c r="A49" s="428" t="s">
        <v>306</v>
      </c>
      <c r="B49" s="455"/>
      <c r="C49" s="456"/>
      <c r="D49" s="470"/>
      <c r="E49" s="471" t="s">
        <v>375</v>
      </c>
      <c r="F49" s="472" t="s">
        <v>376</v>
      </c>
      <c r="G49" s="447">
        <v>12769</v>
      </c>
      <c r="H49" s="473">
        <v>20399</v>
      </c>
      <c r="I49" s="447">
        <v>17626</v>
      </c>
      <c r="J49" s="436">
        <f t="shared" si="1"/>
        <v>86.4061963821756</v>
      </c>
    </row>
    <row r="50" spans="1:10" ht="18.75" customHeight="1">
      <c r="A50" s="428" t="s">
        <v>306</v>
      </c>
      <c r="B50" s="455"/>
      <c r="C50" s="456"/>
      <c r="D50" s="470"/>
      <c r="E50" s="471" t="s">
        <v>377</v>
      </c>
      <c r="F50" s="472" t="s">
        <v>378</v>
      </c>
      <c r="G50" s="447">
        <v>8000</v>
      </c>
      <c r="H50" s="473">
        <v>706383</v>
      </c>
      <c r="I50" s="447">
        <v>706382</v>
      </c>
      <c r="J50" s="436">
        <f t="shared" si="1"/>
        <v>99.9998584337392</v>
      </c>
    </row>
    <row r="51" spans="1:10" ht="18.75" customHeight="1">
      <c r="A51" s="428" t="s">
        <v>306</v>
      </c>
      <c r="B51" s="455"/>
      <c r="C51" s="456"/>
      <c r="D51" s="470"/>
      <c r="E51" s="471" t="s">
        <v>379</v>
      </c>
      <c r="F51" s="472" t="s">
        <v>380</v>
      </c>
      <c r="G51" s="447">
        <v>31747</v>
      </c>
      <c r="H51" s="473">
        <v>31147</v>
      </c>
      <c r="I51" s="447">
        <f>22398+200</f>
        <v>22598</v>
      </c>
      <c r="J51" s="436">
        <f t="shared" si="1"/>
        <v>72.55273381063986</v>
      </c>
    </row>
    <row r="52" spans="1:10" ht="18.75" customHeight="1">
      <c r="A52" s="421" t="s">
        <v>306</v>
      </c>
      <c r="B52" s="455"/>
      <c r="C52" s="456"/>
      <c r="D52" s="422" t="s">
        <v>381</v>
      </c>
      <c r="E52" s="457"/>
      <c r="F52" s="424" t="s">
        <v>382</v>
      </c>
      <c r="G52" s="458">
        <f>SUM(G53:G57)</f>
        <v>391465</v>
      </c>
      <c r="H52" s="459">
        <f>SUM(H53:H57)</f>
        <v>447691</v>
      </c>
      <c r="I52" s="458">
        <f>SUM(I53:I57)</f>
        <v>396844</v>
      </c>
      <c r="J52" s="427">
        <f t="shared" si="1"/>
        <v>88.64238950526145</v>
      </c>
    </row>
    <row r="53" spans="1:10" ht="18.75" customHeight="1">
      <c r="A53" s="428" t="s">
        <v>306</v>
      </c>
      <c r="B53" s="455"/>
      <c r="C53" s="456"/>
      <c r="D53" s="466"/>
      <c r="E53" s="467">
        <v>634001</v>
      </c>
      <c r="F53" s="474" t="s">
        <v>383</v>
      </c>
      <c r="G53" s="464">
        <v>236253</v>
      </c>
      <c r="H53" s="465">
        <v>245867</v>
      </c>
      <c r="I53" s="464">
        <f>218730+96</f>
        <v>218826</v>
      </c>
      <c r="J53" s="436">
        <f t="shared" si="1"/>
        <v>89.00177738370745</v>
      </c>
    </row>
    <row r="54" spans="1:10" ht="18.75" customHeight="1">
      <c r="A54" s="428" t="s">
        <v>306</v>
      </c>
      <c r="B54" s="455"/>
      <c r="C54" s="456"/>
      <c r="D54" s="466"/>
      <c r="E54" s="467">
        <v>634002</v>
      </c>
      <c r="F54" s="474" t="s">
        <v>384</v>
      </c>
      <c r="G54" s="464">
        <v>76628</v>
      </c>
      <c r="H54" s="465">
        <v>95436</v>
      </c>
      <c r="I54" s="464">
        <v>85734</v>
      </c>
      <c r="J54" s="436">
        <f t="shared" si="1"/>
        <v>89.83402489626556</v>
      </c>
    </row>
    <row r="55" spans="1:10" ht="18.75" customHeight="1">
      <c r="A55" s="428" t="s">
        <v>306</v>
      </c>
      <c r="B55" s="455"/>
      <c r="C55" s="456"/>
      <c r="D55" s="475"/>
      <c r="E55" s="476" t="s">
        <v>385</v>
      </c>
      <c r="F55" s="472" t="s">
        <v>386</v>
      </c>
      <c r="G55" s="464">
        <v>56251</v>
      </c>
      <c r="H55" s="465">
        <v>68349</v>
      </c>
      <c r="I55" s="464">
        <v>55008</v>
      </c>
      <c r="J55" s="436">
        <f t="shared" si="1"/>
        <v>80.48106043980161</v>
      </c>
    </row>
    <row r="56" spans="1:10" ht="18.75" customHeight="1">
      <c r="A56" s="428" t="s">
        <v>306</v>
      </c>
      <c r="B56" s="455"/>
      <c r="C56" s="456"/>
      <c r="D56" s="475"/>
      <c r="E56" s="467">
        <v>634004</v>
      </c>
      <c r="F56" s="477" t="s">
        <v>387</v>
      </c>
      <c r="G56" s="464">
        <v>15370</v>
      </c>
      <c r="H56" s="465">
        <v>30249</v>
      </c>
      <c r="I56" s="464">
        <v>30045</v>
      </c>
      <c r="J56" s="436">
        <f t="shared" si="1"/>
        <v>99.32559754041456</v>
      </c>
    </row>
    <row r="57" spans="1:10" ht="18.75" customHeight="1">
      <c r="A57" s="428" t="s">
        <v>306</v>
      </c>
      <c r="B57" s="455"/>
      <c r="C57" s="456"/>
      <c r="D57" s="475"/>
      <c r="E57" s="467">
        <v>634005</v>
      </c>
      <c r="F57" s="477" t="s">
        <v>388</v>
      </c>
      <c r="G57" s="464">
        <v>6963</v>
      </c>
      <c r="H57" s="465">
        <v>7790</v>
      </c>
      <c r="I57" s="464">
        <v>7231</v>
      </c>
      <c r="J57" s="436">
        <f t="shared" si="1"/>
        <v>92.82413350449295</v>
      </c>
    </row>
    <row r="58" spans="1:10" ht="18.75" customHeight="1">
      <c r="A58" s="421" t="s">
        <v>306</v>
      </c>
      <c r="B58" s="455"/>
      <c r="C58" s="456"/>
      <c r="D58" s="422" t="s">
        <v>389</v>
      </c>
      <c r="E58" s="478"/>
      <c r="F58" s="424" t="s">
        <v>390</v>
      </c>
      <c r="G58" s="458">
        <f>SUM(G59:G63)</f>
        <v>11036895</v>
      </c>
      <c r="H58" s="459">
        <f>SUM(H59:H63)</f>
        <v>15997122</v>
      </c>
      <c r="I58" s="458">
        <f>SUM(I59:I63)</f>
        <v>15869603</v>
      </c>
      <c r="J58" s="427">
        <f t="shared" si="1"/>
        <v>99.20286286495784</v>
      </c>
    </row>
    <row r="59" spans="1:10" ht="18.75" customHeight="1">
      <c r="A59" s="428" t="s">
        <v>306</v>
      </c>
      <c r="B59" s="455"/>
      <c r="C59" s="456"/>
      <c r="D59" s="466"/>
      <c r="E59" s="467">
        <v>635001</v>
      </c>
      <c r="F59" s="477" t="s">
        <v>391</v>
      </c>
      <c r="G59" s="464">
        <v>26060</v>
      </c>
      <c r="H59" s="465">
        <v>37912</v>
      </c>
      <c r="I59" s="464">
        <v>11844</v>
      </c>
      <c r="J59" s="479">
        <f t="shared" si="1"/>
        <v>31.240768094534708</v>
      </c>
    </row>
    <row r="60" spans="1:10" ht="18.75" customHeight="1">
      <c r="A60" s="428" t="s">
        <v>306</v>
      </c>
      <c r="B60" s="455"/>
      <c r="C60" s="456"/>
      <c r="D60" s="466"/>
      <c r="E60" s="467">
        <v>635002</v>
      </c>
      <c r="F60" s="477" t="s">
        <v>392</v>
      </c>
      <c r="G60" s="464">
        <v>10693510</v>
      </c>
      <c r="H60" s="465">
        <v>15554401</v>
      </c>
      <c r="I60" s="464">
        <f>15184462+337672</f>
        <v>15522134</v>
      </c>
      <c r="J60" s="479">
        <f t="shared" si="1"/>
        <v>99.79255388876756</v>
      </c>
    </row>
    <row r="61" spans="1:10" ht="18.75" customHeight="1">
      <c r="A61" s="428" t="s">
        <v>306</v>
      </c>
      <c r="B61" s="455"/>
      <c r="C61" s="456"/>
      <c r="D61" s="466"/>
      <c r="E61" s="467">
        <v>635003</v>
      </c>
      <c r="F61" s="477" t="s">
        <v>393</v>
      </c>
      <c r="G61" s="464">
        <v>3100</v>
      </c>
      <c r="H61" s="465">
        <v>1459</v>
      </c>
      <c r="I61" s="464">
        <v>1359</v>
      </c>
      <c r="J61" s="479">
        <f t="shared" si="1"/>
        <v>93.14599040438657</v>
      </c>
    </row>
    <row r="62" spans="1:10" ht="18.75" customHeight="1">
      <c r="A62" s="428" t="s">
        <v>306</v>
      </c>
      <c r="B62" s="455"/>
      <c r="C62" s="456"/>
      <c r="D62" s="466"/>
      <c r="E62" s="467">
        <v>635004</v>
      </c>
      <c r="F62" s="477" t="s">
        <v>394</v>
      </c>
      <c r="G62" s="464">
        <v>133133</v>
      </c>
      <c r="H62" s="465">
        <v>137057</v>
      </c>
      <c r="I62" s="464">
        <v>113371</v>
      </c>
      <c r="J62" s="479">
        <f t="shared" si="1"/>
        <v>82.7181391683752</v>
      </c>
    </row>
    <row r="63" spans="1:10" ht="18.75" customHeight="1">
      <c r="A63" s="428" t="s">
        <v>306</v>
      </c>
      <c r="B63" s="455"/>
      <c r="C63" s="456"/>
      <c r="D63" s="466"/>
      <c r="E63" s="467">
        <v>635006</v>
      </c>
      <c r="F63" s="474" t="s">
        <v>395</v>
      </c>
      <c r="G63" s="464">
        <v>181092</v>
      </c>
      <c r="H63" s="465">
        <v>266293</v>
      </c>
      <c r="I63" s="464">
        <f>197983+22912</f>
        <v>220895</v>
      </c>
      <c r="J63" s="479">
        <f t="shared" si="1"/>
        <v>82.95186129564051</v>
      </c>
    </row>
    <row r="64" spans="1:10" ht="18.75" customHeight="1">
      <c r="A64" s="421" t="s">
        <v>306</v>
      </c>
      <c r="B64" s="455"/>
      <c r="C64" s="456"/>
      <c r="D64" s="422" t="s">
        <v>396</v>
      </c>
      <c r="E64" s="457"/>
      <c r="F64" s="424" t="s">
        <v>397</v>
      </c>
      <c r="G64" s="458">
        <f>SUM(G65:G67)</f>
        <v>2406792</v>
      </c>
      <c r="H64" s="459">
        <f>SUM(H65:H67)</f>
        <v>2443946</v>
      </c>
      <c r="I64" s="458">
        <f>SUM(I65:I67)</f>
        <v>2430575</v>
      </c>
      <c r="J64" s="427">
        <f t="shared" si="1"/>
        <v>99.45289298536056</v>
      </c>
    </row>
    <row r="65" spans="1:10" ht="18.75" customHeight="1">
      <c r="A65" s="428" t="s">
        <v>306</v>
      </c>
      <c r="B65" s="455"/>
      <c r="C65" s="456"/>
      <c r="D65" s="480"/>
      <c r="E65" s="467">
        <v>636001</v>
      </c>
      <c r="F65" s="481" t="s">
        <v>398</v>
      </c>
      <c r="G65" s="464">
        <f>2396625-110</f>
        <v>2396515</v>
      </c>
      <c r="H65" s="465">
        <v>2427568</v>
      </c>
      <c r="I65" s="464">
        <f>2319120+96000</f>
        <v>2415120</v>
      </c>
      <c r="J65" s="436">
        <f t="shared" si="1"/>
        <v>99.48722342690297</v>
      </c>
    </row>
    <row r="66" spans="1:10" ht="18" customHeight="1">
      <c r="A66" s="428" t="s">
        <v>306</v>
      </c>
      <c r="B66" s="455"/>
      <c r="C66" s="456"/>
      <c r="D66" s="480"/>
      <c r="E66" s="467">
        <v>636002</v>
      </c>
      <c r="F66" s="481" t="s">
        <v>399</v>
      </c>
      <c r="G66" s="464">
        <f>10167+110</f>
        <v>10277</v>
      </c>
      <c r="H66" s="465">
        <v>16378</v>
      </c>
      <c r="I66" s="464">
        <v>15455</v>
      </c>
      <c r="J66" s="436">
        <f t="shared" si="1"/>
        <v>94.36439125656368</v>
      </c>
    </row>
    <row r="67" spans="1:10" s="490" customFormat="1" ht="21" customHeight="1" hidden="1">
      <c r="A67" s="482" t="s">
        <v>306</v>
      </c>
      <c r="B67" s="483"/>
      <c r="C67" s="484"/>
      <c r="D67" s="485"/>
      <c r="E67" s="486">
        <v>636005</v>
      </c>
      <c r="F67" s="487" t="s">
        <v>400</v>
      </c>
      <c r="G67" s="488">
        <v>0</v>
      </c>
      <c r="H67" s="465">
        <v>0</v>
      </c>
      <c r="I67" s="464">
        <v>0</v>
      </c>
      <c r="J67" s="489">
        <v>0</v>
      </c>
    </row>
    <row r="68" spans="1:10" ht="18.75" customHeight="1">
      <c r="A68" s="421" t="s">
        <v>306</v>
      </c>
      <c r="B68" s="455"/>
      <c r="C68" s="456"/>
      <c r="D68" s="422" t="s">
        <v>401</v>
      </c>
      <c r="E68" s="457"/>
      <c r="F68" s="424" t="s">
        <v>402</v>
      </c>
      <c r="G68" s="458">
        <f>SUM(G69:G86)</f>
        <v>8767750</v>
      </c>
      <c r="H68" s="459">
        <f>SUM(H69:H86)</f>
        <v>8359859</v>
      </c>
      <c r="I68" s="458">
        <f>SUM(I69:I86)</f>
        <v>8141118</v>
      </c>
      <c r="J68" s="427">
        <f aca="true" t="shared" si="2" ref="J68:J95">SUM($I68/H68)*100</f>
        <v>97.3834367302128</v>
      </c>
    </row>
    <row r="69" spans="1:10" ht="18.75" customHeight="1">
      <c r="A69" s="428" t="s">
        <v>306</v>
      </c>
      <c r="B69" s="455"/>
      <c r="C69" s="456"/>
      <c r="D69" s="470"/>
      <c r="E69" s="471" t="s">
        <v>403</v>
      </c>
      <c r="F69" s="472" t="s">
        <v>404</v>
      </c>
      <c r="G69" s="464">
        <v>67444</v>
      </c>
      <c r="H69" s="465">
        <v>25594</v>
      </c>
      <c r="I69" s="464">
        <f>23243+1396</f>
        <v>24639</v>
      </c>
      <c r="J69" s="479">
        <f t="shared" si="2"/>
        <v>96.26865671641791</v>
      </c>
    </row>
    <row r="70" spans="1:10" ht="18.75" customHeight="1">
      <c r="A70" s="428" t="s">
        <v>306</v>
      </c>
      <c r="B70" s="455"/>
      <c r="C70" s="456"/>
      <c r="D70" s="470"/>
      <c r="E70" s="471" t="s">
        <v>405</v>
      </c>
      <c r="F70" s="472" t="s">
        <v>406</v>
      </c>
      <c r="G70" s="464">
        <v>8678</v>
      </c>
      <c r="H70" s="465">
        <v>8744</v>
      </c>
      <c r="I70" s="464">
        <f>3128+1256</f>
        <v>4384</v>
      </c>
      <c r="J70" s="479">
        <f t="shared" si="2"/>
        <v>50.137236962488565</v>
      </c>
    </row>
    <row r="71" spans="1:10" ht="18.75" customHeight="1">
      <c r="A71" s="428" t="s">
        <v>306</v>
      </c>
      <c r="B71" s="455"/>
      <c r="C71" s="456"/>
      <c r="D71" s="470"/>
      <c r="E71" s="471" t="s">
        <v>407</v>
      </c>
      <c r="F71" s="472" t="s">
        <v>408</v>
      </c>
      <c r="G71" s="464">
        <v>1368545</v>
      </c>
      <c r="H71" s="465">
        <v>1415639</v>
      </c>
      <c r="I71" s="464">
        <f>1300188+60557</f>
        <v>1360745</v>
      </c>
      <c r="J71" s="479">
        <f t="shared" si="2"/>
        <v>96.12231649453004</v>
      </c>
    </row>
    <row r="72" spans="1:10" ht="18.75" customHeight="1">
      <c r="A72" s="428" t="s">
        <v>306</v>
      </c>
      <c r="B72" s="455"/>
      <c r="C72" s="456"/>
      <c r="D72" s="470"/>
      <c r="E72" s="471" t="s">
        <v>409</v>
      </c>
      <c r="F72" s="472" t="s">
        <v>410</v>
      </c>
      <c r="G72" s="464">
        <v>1400155</v>
      </c>
      <c r="H72" s="465">
        <v>1382139</v>
      </c>
      <c r="I72" s="464">
        <f>1314876+2990</f>
        <v>1317866</v>
      </c>
      <c r="J72" s="479">
        <f t="shared" si="2"/>
        <v>95.3497441284849</v>
      </c>
    </row>
    <row r="73" spans="1:10" ht="18.75" customHeight="1">
      <c r="A73" s="428" t="s">
        <v>306</v>
      </c>
      <c r="B73" s="455"/>
      <c r="C73" s="456"/>
      <c r="D73" s="470"/>
      <c r="E73" s="471" t="s">
        <v>411</v>
      </c>
      <c r="F73" s="472" t="s">
        <v>351</v>
      </c>
      <c r="G73" s="464">
        <v>505</v>
      </c>
      <c r="H73" s="465">
        <v>907</v>
      </c>
      <c r="I73" s="464">
        <v>515</v>
      </c>
      <c r="J73" s="479">
        <f t="shared" si="2"/>
        <v>56.780595369349506</v>
      </c>
    </row>
    <row r="74" spans="1:10" s="496" customFormat="1" ht="18" customHeight="1">
      <c r="A74" s="491" t="s">
        <v>306</v>
      </c>
      <c r="B74" s="492"/>
      <c r="C74" s="456"/>
      <c r="D74" s="493"/>
      <c r="E74" s="494" t="s">
        <v>412</v>
      </c>
      <c r="F74" s="495" t="s">
        <v>413</v>
      </c>
      <c r="G74" s="464">
        <v>12100</v>
      </c>
      <c r="H74" s="465">
        <v>12100</v>
      </c>
      <c r="I74" s="464">
        <v>12061</v>
      </c>
      <c r="J74" s="479">
        <f t="shared" si="2"/>
        <v>99.67768595041322</v>
      </c>
    </row>
    <row r="75" spans="1:10" ht="18.75" customHeight="1">
      <c r="A75" s="428" t="s">
        <v>306</v>
      </c>
      <c r="B75" s="455"/>
      <c r="C75" s="456"/>
      <c r="D75" s="470"/>
      <c r="E75" s="471" t="s">
        <v>414</v>
      </c>
      <c r="F75" s="472" t="s">
        <v>415</v>
      </c>
      <c r="G75" s="464">
        <v>13374</v>
      </c>
      <c r="H75" s="465">
        <v>22843</v>
      </c>
      <c r="I75" s="464">
        <v>19980</v>
      </c>
      <c r="J75" s="479">
        <f t="shared" si="2"/>
        <v>87.46661997110712</v>
      </c>
    </row>
    <row r="76" spans="1:10" ht="18.75" customHeight="1">
      <c r="A76" s="428" t="s">
        <v>306</v>
      </c>
      <c r="B76" s="455"/>
      <c r="C76" s="456"/>
      <c r="D76" s="470"/>
      <c r="E76" s="471" t="s">
        <v>416</v>
      </c>
      <c r="F76" s="472" t="s">
        <v>417</v>
      </c>
      <c r="G76" s="464">
        <v>1321624</v>
      </c>
      <c r="H76" s="465">
        <v>1415617</v>
      </c>
      <c r="I76" s="464">
        <f>1368700+35145</f>
        <v>1403845</v>
      </c>
      <c r="J76" s="479">
        <f t="shared" si="2"/>
        <v>99.1684191416181</v>
      </c>
    </row>
    <row r="77" spans="1:10" ht="18.75" customHeight="1">
      <c r="A77" s="428" t="s">
        <v>306</v>
      </c>
      <c r="B77" s="455"/>
      <c r="C77" s="456"/>
      <c r="D77" s="470"/>
      <c r="E77" s="471" t="s">
        <v>418</v>
      </c>
      <c r="F77" s="472" t="s">
        <v>419</v>
      </c>
      <c r="G77" s="464">
        <v>1822452</v>
      </c>
      <c r="H77" s="465">
        <v>1743321</v>
      </c>
      <c r="I77" s="464">
        <f>1686509+56812</f>
        <v>1743321</v>
      </c>
      <c r="J77" s="479">
        <f t="shared" si="2"/>
        <v>100</v>
      </c>
    </row>
    <row r="78" spans="1:10" ht="18.75" customHeight="1">
      <c r="A78" s="428" t="s">
        <v>306</v>
      </c>
      <c r="B78" s="455"/>
      <c r="C78" s="456"/>
      <c r="D78" s="470"/>
      <c r="E78" s="471" t="s">
        <v>420</v>
      </c>
      <c r="F78" s="472" t="s">
        <v>421</v>
      </c>
      <c r="G78" s="464">
        <v>24016</v>
      </c>
      <c r="H78" s="465">
        <v>24172</v>
      </c>
      <c r="I78" s="464">
        <f>16850+2188</f>
        <v>19038</v>
      </c>
      <c r="J78" s="479">
        <f t="shared" si="2"/>
        <v>78.76054939599537</v>
      </c>
    </row>
    <row r="79" spans="1:10" ht="18.75" customHeight="1">
      <c r="A79" s="428" t="s">
        <v>306</v>
      </c>
      <c r="B79" s="455"/>
      <c r="C79" s="456"/>
      <c r="D79" s="470"/>
      <c r="E79" s="471" t="s">
        <v>422</v>
      </c>
      <c r="F79" s="472" t="s">
        <v>423</v>
      </c>
      <c r="G79" s="464">
        <v>687472</v>
      </c>
      <c r="H79" s="465">
        <v>736579</v>
      </c>
      <c r="I79" s="465">
        <v>697412</v>
      </c>
      <c r="J79" s="479">
        <f t="shared" si="2"/>
        <v>94.68257987262739</v>
      </c>
    </row>
    <row r="80" spans="1:10" ht="18.75" customHeight="1">
      <c r="A80" s="428" t="s">
        <v>306</v>
      </c>
      <c r="B80" s="455"/>
      <c r="C80" s="456"/>
      <c r="D80" s="470"/>
      <c r="E80" s="471" t="s">
        <v>424</v>
      </c>
      <c r="F80" s="472" t="s">
        <v>425</v>
      </c>
      <c r="G80" s="464">
        <v>5300</v>
      </c>
      <c r="H80" s="465">
        <v>8305</v>
      </c>
      <c r="I80" s="464">
        <v>7660</v>
      </c>
      <c r="J80" s="479">
        <f t="shared" si="2"/>
        <v>92.23359422034919</v>
      </c>
    </row>
    <row r="81" spans="1:10" ht="18.75" customHeight="1">
      <c r="A81" s="428" t="s">
        <v>306</v>
      </c>
      <c r="B81" s="455"/>
      <c r="C81" s="456"/>
      <c r="D81" s="470"/>
      <c r="E81" s="471" t="s">
        <v>426</v>
      </c>
      <c r="F81" s="472" t="s">
        <v>427</v>
      </c>
      <c r="G81" s="464">
        <v>87790</v>
      </c>
      <c r="H81" s="465">
        <v>89790</v>
      </c>
      <c r="I81" s="464">
        <v>87526</v>
      </c>
      <c r="J81" s="479">
        <f t="shared" si="2"/>
        <v>97.47856108698073</v>
      </c>
    </row>
    <row r="82" spans="1:10" ht="18.75" customHeight="1">
      <c r="A82" s="428" t="s">
        <v>306</v>
      </c>
      <c r="B82" s="455"/>
      <c r="C82" s="456"/>
      <c r="D82" s="470"/>
      <c r="E82" s="471" t="s">
        <v>428</v>
      </c>
      <c r="F82" s="472" t="s">
        <v>429</v>
      </c>
      <c r="G82" s="464">
        <v>120860</v>
      </c>
      <c r="H82" s="465">
        <v>78852</v>
      </c>
      <c r="I82" s="464">
        <v>64947</v>
      </c>
      <c r="J82" s="479">
        <f t="shared" si="2"/>
        <v>82.36569776289758</v>
      </c>
    </row>
    <row r="83" spans="1:10" ht="18.75" customHeight="1">
      <c r="A83" s="428" t="s">
        <v>430</v>
      </c>
      <c r="B83" s="455"/>
      <c r="C83" s="456"/>
      <c r="D83" s="470"/>
      <c r="E83" s="471" t="s">
        <v>431</v>
      </c>
      <c r="F83" s="472" t="s">
        <v>432</v>
      </c>
      <c r="G83" s="464">
        <v>0</v>
      </c>
      <c r="H83" s="465">
        <v>28499</v>
      </c>
      <c r="I83" s="464">
        <v>28496</v>
      </c>
      <c r="J83" s="479">
        <f t="shared" si="2"/>
        <v>99.98947331485314</v>
      </c>
    </row>
    <row r="84" spans="1:10" ht="18.75" customHeight="1">
      <c r="A84" s="428" t="s">
        <v>306</v>
      </c>
      <c r="B84" s="455"/>
      <c r="C84" s="456"/>
      <c r="D84" s="470"/>
      <c r="E84" s="471" t="s">
        <v>433</v>
      </c>
      <c r="F84" s="472" t="s">
        <v>434</v>
      </c>
      <c r="G84" s="464">
        <v>50000</v>
      </c>
      <c r="H84" s="465">
        <v>128634</v>
      </c>
      <c r="I84" s="464">
        <v>127598</v>
      </c>
      <c r="J84" s="479">
        <f t="shared" si="2"/>
        <v>99.19461417665624</v>
      </c>
    </row>
    <row r="85" spans="1:10" ht="18.75" customHeight="1">
      <c r="A85" s="428" t="s">
        <v>306</v>
      </c>
      <c r="B85" s="455"/>
      <c r="C85" s="456"/>
      <c r="D85" s="470"/>
      <c r="E85" s="471" t="s">
        <v>435</v>
      </c>
      <c r="F85" s="472" t="s">
        <v>436</v>
      </c>
      <c r="G85" s="464">
        <v>1670000</v>
      </c>
      <c r="H85" s="465">
        <v>1129534</v>
      </c>
      <c r="I85" s="464">
        <v>1117815</v>
      </c>
      <c r="J85" s="479">
        <f t="shared" si="2"/>
        <v>98.96249249690581</v>
      </c>
    </row>
    <row r="86" spans="1:10" ht="18.75" customHeight="1">
      <c r="A86" s="428" t="s">
        <v>306</v>
      </c>
      <c r="B86" s="455"/>
      <c r="C86" s="456"/>
      <c r="D86" s="470"/>
      <c r="E86" s="471" t="s">
        <v>437</v>
      </c>
      <c r="F86" s="472" t="s">
        <v>438</v>
      </c>
      <c r="G86" s="464">
        <v>107435</v>
      </c>
      <c r="H86" s="465">
        <v>108590</v>
      </c>
      <c r="I86" s="464">
        <v>103270</v>
      </c>
      <c r="J86" s="479">
        <f t="shared" si="2"/>
        <v>95.10083801455013</v>
      </c>
    </row>
    <row r="87" spans="1:10" ht="18.75" customHeight="1">
      <c r="A87" s="413" t="s">
        <v>306</v>
      </c>
      <c r="B87" s="437"/>
      <c r="C87" s="451" t="s">
        <v>439</v>
      </c>
      <c r="D87" s="438"/>
      <c r="E87" s="452"/>
      <c r="F87" s="440" t="s">
        <v>440</v>
      </c>
      <c r="G87" s="497">
        <f>SUM(G88+G94)</f>
        <v>893679</v>
      </c>
      <c r="H87" s="498">
        <f>SUM(H88+H94)</f>
        <v>752110</v>
      </c>
      <c r="I87" s="497">
        <f>SUM(I88+I94)</f>
        <v>665284</v>
      </c>
      <c r="J87" s="420">
        <f t="shared" si="2"/>
        <v>88.45567802582069</v>
      </c>
    </row>
    <row r="88" spans="1:10" ht="18.75" customHeight="1">
      <c r="A88" s="421" t="s">
        <v>306</v>
      </c>
      <c r="B88" s="455"/>
      <c r="C88" s="456"/>
      <c r="D88" s="422" t="s">
        <v>441</v>
      </c>
      <c r="E88" s="457"/>
      <c r="F88" s="424" t="s">
        <v>442</v>
      </c>
      <c r="G88" s="458">
        <f>SUM(G89:G93)</f>
        <v>851679</v>
      </c>
      <c r="H88" s="459">
        <f>SUM(H89:H93)</f>
        <v>710110</v>
      </c>
      <c r="I88" s="458">
        <f>SUM(I89:I93)</f>
        <v>624485</v>
      </c>
      <c r="J88" s="427">
        <f t="shared" si="2"/>
        <v>87.94200898452353</v>
      </c>
    </row>
    <row r="89" spans="1:10" ht="18.75" customHeight="1">
      <c r="A89" s="428" t="s">
        <v>306</v>
      </c>
      <c r="B89" s="455"/>
      <c r="C89" s="456"/>
      <c r="D89" s="470"/>
      <c r="E89" s="471" t="s">
        <v>443</v>
      </c>
      <c r="F89" s="472" t="s">
        <v>444</v>
      </c>
      <c r="G89" s="464">
        <f>224050</f>
        <v>224050</v>
      </c>
      <c r="H89" s="465">
        <v>153060</v>
      </c>
      <c r="I89" s="465">
        <v>136657</v>
      </c>
      <c r="J89" s="436">
        <f t="shared" si="2"/>
        <v>89.28328759963414</v>
      </c>
    </row>
    <row r="90" spans="1:10" ht="18.75" customHeight="1">
      <c r="A90" s="428" t="s">
        <v>306</v>
      </c>
      <c r="B90" s="455"/>
      <c r="C90" s="456"/>
      <c r="D90" s="470"/>
      <c r="E90" s="471" t="s">
        <v>445</v>
      </c>
      <c r="F90" s="472" t="s">
        <v>446</v>
      </c>
      <c r="G90" s="464">
        <f>45000+275490</f>
        <v>320490</v>
      </c>
      <c r="H90" s="465">
        <v>202554</v>
      </c>
      <c r="I90" s="465">
        <v>166058</v>
      </c>
      <c r="J90" s="436">
        <f t="shared" si="2"/>
        <v>81.98208872695676</v>
      </c>
    </row>
    <row r="91" spans="1:10" ht="18.75" customHeight="1">
      <c r="A91" s="428" t="s">
        <v>306</v>
      </c>
      <c r="B91" s="455"/>
      <c r="C91" s="456"/>
      <c r="D91" s="470"/>
      <c r="E91" s="471" t="s">
        <v>447</v>
      </c>
      <c r="F91" s="472" t="s">
        <v>448</v>
      </c>
      <c r="G91" s="464">
        <f>11000+11000</f>
        <v>22000</v>
      </c>
      <c r="H91" s="465">
        <v>19652</v>
      </c>
      <c r="I91" s="465">
        <v>14966</v>
      </c>
      <c r="J91" s="436">
        <f t="shared" si="2"/>
        <v>76.15509871768776</v>
      </c>
    </row>
    <row r="92" spans="1:10" ht="18.75" customHeight="1">
      <c r="A92" s="428" t="s">
        <v>306</v>
      </c>
      <c r="B92" s="455"/>
      <c r="C92" s="456"/>
      <c r="D92" s="470"/>
      <c r="E92" s="471" t="s">
        <v>449</v>
      </c>
      <c r="F92" s="472" t="s">
        <v>450</v>
      </c>
      <c r="G92" s="464">
        <f>90000+195139</f>
        <v>285139</v>
      </c>
      <c r="H92" s="465">
        <v>334844</v>
      </c>
      <c r="I92" s="465">
        <v>306804</v>
      </c>
      <c r="J92" s="436">
        <f t="shared" si="2"/>
        <v>91.6259511892105</v>
      </c>
    </row>
    <row r="93" spans="1:10" ht="18.75" customHeight="1" hidden="1">
      <c r="A93" s="428" t="s">
        <v>306</v>
      </c>
      <c r="B93" s="455"/>
      <c r="C93" s="456"/>
      <c r="D93" s="470"/>
      <c r="E93" s="471" t="s">
        <v>451</v>
      </c>
      <c r="F93" s="472" t="s">
        <v>452</v>
      </c>
      <c r="G93" s="464">
        <v>0</v>
      </c>
      <c r="H93" s="465">
        <v>0</v>
      </c>
      <c r="I93" s="464">
        <v>0</v>
      </c>
      <c r="J93" s="436" t="e">
        <f t="shared" si="2"/>
        <v>#DIV/0!</v>
      </c>
    </row>
    <row r="94" spans="1:10" ht="18.75" customHeight="1">
      <c r="A94" s="421" t="s">
        <v>306</v>
      </c>
      <c r="B94" s="455"/>
      <c r="C94" s="456"/>
      <c r="D94" s="422" t="s">
        <v>453</v>
      </c>
      <c r="E94" s="471"/>
      <c r="F94" s="424" t="s">
        <v>454</v>
      </c>
      <c r="G94" s="458">
        <f>SUM(G95)</f>
        <v>42000</v>
      </c>
      <c r="H94" s="459">
        <f>SUM(H95)</f>
        <v>42000</v>
      </c>
      <c r="I94" s="458">
        <f>SUM(I95)</f>
        <v>40799</v>
      </c>
      <c r="J94" s="427">
        <f t="shared" si="2"/>
        <v>97.14047619047619</v>
      </c>
    </row>
    <row r="95" spans="1:10" ht="18.75" customHeight="1">
      <c r="A95" s="428" t="s">
        <v>306</v>
      </c>
      <c r="B95" s="455"/>
      <c r="C95" s="456"/>
      <c r="D95" s="470"/>
      <c r="E95" s="471" t="s">
        <v>455</v>
      </c>
      <c r="F95" s="472" t="s">
        <v>456</v>
      </c>
      <c r="G95" s="464">
        <v>42000</v>
      </c>
      <c r="H95" s="465">
        <v>42000</v>
      </c>
      <c r="I95" s="464">
        <f>40185+614</f>
        <v>40799</v>
      </c>
      <c r="J95" s="436">
        <f t="shared" si="2"/>
        <v>97.14047619047619</v>
      </c>
    </row>
    <row r="96" spans="1:10" ht="14.25" thickBot="1">
      <c r="A96" s="499"/>
      <c r="B96" s="500"/>
      <c r="C96" s="501"/>
      <c r="D96" s="501"/>
      <c r="E96" s="502"/>
      <c r="F96" s="503"/>
      <c r="G96" s="504"/>
      <c r="H96" s="505"/>
      <c r="I96" s="504"/>
      <c r="J96" s="506"/>
    </row>
    <row r="97" spans="2:6" ht="12.75">
      <c r="B97" s="507"/>
      <c r="C97" s="507"/>
      <c r="D97" s="507"/>
      <c r="E97" s="507"/>
      <c r="F97" s="507"/>
    </row>
    <row r="98" spans="2:9" ht="12.75">
      <c r="B98" s="507"/>
      <c r="C98" s="507"/>
      <c r="D98" s="507"/>
      <c r="E98" s="507"/>
      <c r="F98" s="507"/>
      <c r="I98" s="508"/>
    </row>
    <row r="99" spans="2:9" ht="12.75">
      <c r="B99" s="507"/>
      <c r="C99" s="507"/>
      <c r="D99" s="507"/>
      <c r="E99" s="507"/>
      <c r="F99" s="507"/>
      <c r="I99" s="508"/>
    </row>
    <row r="100" spans="2:6" ht="12.75">
      <c r="B100" s="507"/>
      <c r="C100" s="507"/>
      <c r="D100" s="507"/>
      <c r="E100" s="507"/>
      <c r="F100" s="507"/>
    </row>
    <row r="101" spans="2:6" ht="12.75">
      <c r="B101" s="507"/>
      <c r="C101" s="507"/>
      <c r="D101" s="507"/>
      <c r="E101" s="507"/>
      <c r="F101" s="507"/>
    </row>
    <row r="102" spans="2:6" ht="12.75">
      <c r="B102" s="507"/>
      <c r="C102" s="507"/>
      <c r="D102" s="507"/>
      <c r="E102" s="507"/>
      <c r="F102" s="507"/>
    </row>
    <row r="103" spans="2:6" ht="12.75">
      <c r="B103" s="507"/>
      <c r="C103" s="507"/>
      <c r="D103" s="507"/>
      <c r="E103" s="507"/>
      <c r="F103" s="507"/>
    </row>
    <row r="104" spans="2:6" ht="12.75">
      <c r="B104" s="507"/>
      <c r="C104" s="507"/>
      <c r="D104" s="507"/>
      <c r="E104" s="507"/>
      <c r="F104" s="507"/>
    </row>
    <row r="105" spans="2:6" ht="12.75">
      <c r="B105" s="507"/>
      <c r="C105" s="507"/>
      <c r="D105" s="507"/>
      <c r="E105" s="507"/>
      <c r="F105" s="507"/>
    </row>
    <row r="106" spans="2:6" ht="12.75">
      <c r="B106" s="507"/>
      <c r="C106" s="507"/>
      <c r="D106" s="507"/>
      <c r="E106" s="507"/>
      <c r="F106" s="507"/>
    </row>
    <row r="107" spans="2:6" ht="12.75">
      <c r="B107" s="507"/>
      <c r="C107" s="507"/>
      <c r="D107" s="507"/>
      <c r="E107" s="507"/>
      <c r="F107" s="507"/>
    </row>
    <row r="108" spans="2:6" ht="12.75">
      <c r="B108" s="507"/>
      <c r="C108" s="507"/>
      <c r="D108" s="507"/>
      <c r="E108" s="507"/>
      <c r="F108" s="507"/>
    </row>
    <row r="109" spans="2:6" ht="12.75">
      <c r="B109" s="507"/>
      <c r="C109" s="507"/>
      <c r="D109" s="507"/>
      <c r="E109" s="507"/>
      <c r="F109" s="507"/>
    </row>
    <row r="110" spans="2:6" ht="12.75">
      <c r="B110" s="507"/>
      <c r="C110" s="507"/>
      <c r="D110" s="507"/>
      <c r="E110" s="507"/>
      <c r="F110" s="507"/>
    </row>
    <row r="111" spans="2:6" ht="12.75">
      <c r="B111" s="507"/>
      <c r="C111" s="507"/>
      <c r="D111" s="507"/>
      <c r="E111" s="507"/>
      <c r="F111" s="507"/>
    </row>
    <row r="112" spans="2:6" ht="12.75">
      <c r="B112" s="507"/>
      <c r="C112" s="507"/>
      <c r="D112" s="507"/>
      <c r="E112" s="507"/>
      <c r="F112" s="507"/>
    </row>
    <row r="113" spans="2:6" ht="12.75">
      <c r="B113" s="507"/>
      <c r="C113" s="507"/>
      <c r="D113" s="507"/>
      <c r="E113" s="507"/>
      <c r="F113" s="507"/>
    </row>
    <row r="114" spans="2:6" ht="12.75">
      <c r="B114" s="507"/>
      <c r="C114" s="507"/>
      <c r="D114" s="507"/>
      <c r="E114" s="507"/>
      <c r="F114" s="507"/>
    </row>
    <row r="115" spans="2:6" ht="12.75">
      <c r="B115" s="507"/>
      <c r="C115" s="507"/>
      <c r="D115" s="507"/>
      <c r="E115" s="507"/>
      <c r="F115" s="507"/>
    </row>
    <row r="116" spans="2:6" ht="12.75">
      <c r="B116" s="507"/>
      <c r="C116" s="507"/>
      <c r="D116" s="507"/>
      <c r="E116" s="507"/>
      <c r="F116" s="507"/>
    </row>
    <row r="117" spans="2:6" ht="12.75">
      <c r="B117" s="507"/>
      <c r="C117" s="507"/>
      <c r="D117" s="507"/>
      <c r="E117" s="507"/>
      <c r="F117" s="507"/>
    </row>
    <row r="118" spans="2:6" ht="12.75">
      <c r="B118" s="507"/>
      <c r="C118" s="507"/>
      <c r="D118" s="507"/>
      <c r="E118" s="507"/>
      <c r="F118" s="507"/>
    </row>
    <row r="119" spans="2:6" ht="12.75">
      <c r="B119" s="507"/>
      <c r="C119" s="507"/>
      <c r="D119" s="507"/>
      <c r="E119" s="507"/>
      <c r="F119" s="507"/>
    </row>
    <row r="120" spans="2:6" ht="12.75">
      <c r="B120" s="507"/>
      <c r="C120" s="507"/>
      <c r="D120" s="507"/>
      <c r="E120" s="507"/>
      <c r="F120" s="507"/>
    </row>
    <row r="121" spans="2:6" ht="12.75">
      <c r="B121" s="507"/>
      <c r="C121" s="507"/>
      <c r="D121" s="507"/>
      <c r="E121" s="507"/>
      <c r="F121" s="507"/>
    </row>
    <row r="122" spans="2:6" ht="12.75">
      <c r="B122" s="507"/>
      <c r="C122" s="507"/>
      <c r="D122" s="507"/>
      <c r="E122" s="507"/>
      <c r="F122" s="507"/>
    </row>
    <row r="123" spans="2:6" ht="12.75">
      <c r="B123" s="507"/>
      <c r="C123" s="507"/>
      <c r="D123" s="507"/>
      <c r="E123" s="507"/>
      <c r="F123" s="507"/>
    </row>
    <row r="124" spans="2:6" ht="12.75">
      <c r="B124" s="507"/>
      <c r="C124" s="507"/>
      <c r="D124" s="507"/>
      <c r="E124" s="507"/>
      <c r="F124" s="507"/>
    </row>
    <row r="125" spans="2:6" ht="12.75">
      <c r="B125" s="507"/>
      <c r="C125" s="507"/>
      <c r="D125" s="507"/>
      <c r="E125" s="507"/>
      <c r="F125" s="507"/>
    </row>
    <row r="126" spans="2:6" ht="12.75">
      <c r="B126" s="507"/>
      <c r="C126" s="507"/>
      <c r="D126" s="507"/>
      <c r="E126" s="507"/>
      <c r="F126" s="507"/>
    </row>
    <row r="127" spans="2:6" ht="12.75">
      <c r="B127" s="507"/>
      <c r="C127" s="507"/>
      <c r="D127" s="507"/>
      <c r="E127" s="507"/>
      <c r="F127" s="507"/>
    </row>
    <row r="128" spans="2:6" ht="12.75">
      <c r="B128" s="507"/>
      <c r="C128" s="507"/>
      <c r="D128" s="507"/>
      <c r="E128" s="507"/>
      <c r="F128" s="507"/>
    </row>
    <row r="129" spans="2:6" ht="12.75">
      <c r="B129" s="507"/>
      <c r="C129" s="507"/>
      <c r="D129" s="507"/>
      <c r="E129" s="507"/>
      <c r="F129" s="507"/>
    </row>
    <row r="130" spans="2:6" ht="12.75">
      <c r="B130" s="507"/>
      <c r="C130" s="507"/>
      <c r="D130" s="507"/>
      <c r="E130" s="507"/>
      <c r="F130" s="507"/>
    </row>
    <row r="131" spans="2:6" ht="12.75">
      <c r="B131" s="507"/>
      <c r="C131" s="507"/>
      <c r="D131" s="507"/>
      <c r="E131" s="507"/>
      <c r="F131" s="507"/>
    </row>
    <row r="132" spans="2:6" ht="12.75">
      <c r="B132" s="507"/>
      <c r="C132" s="507"/>
      <c r="D132" s="507"/>
      <c r="E132" s="507"/>
      <c r="F132" s="507"/>
    </row>
    <row r="133" spans="2:6" ht="12.75">
      <c r="B133" s="507"/>
      <c r="C133" s="507"/>
      <c r="D133" s="507"/>
      <c r="E133" s="507"/>
      <c r="F133" s="507"/>
    </row>
    <row r="134" spans="2:6" ht="12.75">
      <c r="B134" s="507"/>
      <c r="C134" s="507"/>
      <c r="D134" s="507"/>
      <c r="E134" s="507"/>
      <c r="F134" s="507"/>
    </row>
    <row r="135" spans="2:6" ht="12.75">
      <c r="B135" s="507"/>
      <c r="C135" s="507"/>
      <c r="D135" s="507"/>
      <c r="E135" s="507"/>
      <c r="F135" s="507"/>
    </row>
    <row r="136" spans="2:6" ht="12.75">
      <c r="B136" s="507"/>
      <c r="C136" s="507"/>
      <c r="D136" s="507"/>
      <c r="E136" s="507"/>
      <c r="F136" s="507"/>
    </row>
    <row r="137" spans="2:6" ht="12.75">
      <c r="B137" s="507"/>
      <c r="C137" s="507"/>
      <c r="D137" s="507"/>
      <c r="E137" s="507"/>
      <c r="F137" s="507"/>
    </row>
    <row r="138" spans="2:6" ht="12.75">
      <c r="B138" s="507"/>
      <c r="C138" s="507"/>
      <c r="D138" s="507"/>
      <c r="E138" s="507"/>
      <c r="F138" s="507"/>
    </row>
    <row r="139" spans="2:6" ht="12.75">
      <c r="B139" s="507"/>
      <c r="C139" s="507"/>
      <c r="D139" s="507"/>
      <c r="E139" s="507"/>
      <c r="F139" s="507"/>
    </row>
    <row r="140" spans="2:6" ht="12.75">
      <c r="B140" s="507"/>
      <c r="C140" s="507"/>
      <c r="D140" s="507"/>
      <c r="E140" s="507"/>
      <c r="F140" s="507"/>
    </row>
    <row r="141" spans="2:6" ht="12.75">
      <c r="B141" s="507"/>
      <c r="C141" s="507"/>
      <c r="D141" s="507"/>
      <c r="E141" s="507"/>
      <c r="F141" s="507"/>
    </row>
    <row r="142" spans="2:6" ht="12.75">
      <c r="B142" s="507"/>
      <c r="C142" s="507"/>
      <c r="D142" s="507"/>
      <c r="E142" s="507"/>
      <c r="F142" s="507"/>
    </row>
    <row r="143" spans="2:6" ht="12.75">
      <c r="B143" s="507"/>
      <c r="C143" s="507"/>
      <c r="D143" s="507"/>
      <c r="E143" s="507"/>
      <c r="F143" s="507"/>
    </row>
    <row r="144" spans="2:6" ht="12.75">
      <c r="B144" s="507"/>
      <c r="C144" s="507"/>
      <c r="D144" s="507"/>
      <c r="E144" s="507"/>
      <c r="F144" s="507"/>
    </row>
    <row r="145" spans="2:6" ht="12.75">
      <c r="B145" s="507"/>
      <c r="C145" s="507"/>
      <c r="D145" s="507"/>
      <c r="E145" s="507"/>
      <c r="F145" s="507"/>
    </row>
    <row r="146" spans="2:6" ht="12.75">
      <c r="B146" s="507"/>
      <c r="C146" s="507"/>
      <c r="D146" s="507"/>
      <c r="E146" s="507"/>
      <c r="F146" s="507"/>
    </row>
    <row r="147" spans="2:6" ht="12.75">
      <c r="B147" s="507"/>
      <c r="C147" s="507"/>
      <c r="D147" s="507"/>
      <c r="E147" s="507"/>
      <c r="F147" s="507"/>
    </row>
    <row r="148" spans="2:6" ht="12.75">
      <c r="B148" s="507"/>
      <c r="C148" s="507"/>
      <c r="D148" s="507"/>
      <c r="E148" s="507"/>
      <c r="F148" s="507"/>
    </row>
    <row r="149" spans="2:6" ht="12.75">
      <c r="B149" s="507"/>
      <c r="C149" s="507"/>
      <c r="D149" s="507"/>
      <c r="E149" s="507"/>
      <c r="F149" s="507"/>
    </row>
    <row r="150" spans="2:6" ht="12.75">
      <c r="B150" s="507"/>
      <c r="C150" s="507"/>
      <c r="D150" s="507"/>
      <c r="E150" s="507"/>
      <c r="F150" s="507"/>
    </row>
    <row r="151" spans="2:6" ht="12.75">
      <c r="B151" s="507"/>
      <c r="C151" s="507"/>
      <c r="D151" s="507"/>
      <c r="E151" s="507"/>
      <c r="F151" s="507"/>
    </row>
    <row r="152" spans="2:6" ht="12.75">
      <c r="B152" s="507"/>
      <c r="C152" s="507"/>
      <c r="D152" s="507"/>
      <c r="E152" s="507"/>
      <c r="F152" s="507"/>
    </row>
    <row r="153" spans="2:6" ht="12.75">
      <c r="B153" s="507"/>
      <c r="C153" s="507"/>
      <c r="D153" s="507"/>
      <c r="E153" s="507"/>
      <c r="F153" s="507"/>
    </row>
    <row r="154" spans="2:6" ht="12.75">
      <c r="B154" s="507"/>
      <c r="C154" s="507"/>
      <c r="D154" s="507"/>
      <c r="E154" s="507"/>
      <c r="F154" s="507"/>
    </row>
    <row r="155" spans="2:6" ht="12.75">
      <c r="B155" s="507"/>
      <c r="C155" s="507"/>
      <c r="D155" s="507"/>
      <c r="E155" s="507"/>
      <c r="F155" s="507"/>
    </row>
    <row r="156" spans="2:6" ht="12.75">
      <c r="B156" s="507"/>
      <c r="C156" s="507"/>
      <c r="D156" s="507"/>
      <c r="E156" s="507"/>
      <c r="F156" s="507"/>
    </row>
    <row r="157" spans="2:6" ht="12.75">
      <c r="B157" s="507"/>
      <c r="C157" s="507"/>
      <c r="D157" s="507"/>
      <c r="E157" s="507"/>
      <c r="F157" s="507"/>
    </row>
    <row r="158" spans="2:6" ht="12.75">
      <c r="B158" s="507"/>
      <c r="C158" s="507"/>
      <c r="D158" s="507"/>
      <c r="E158" s="507"/>
      <c r="F158" s="507"/>
    </row>
    <row r="159" spans="2:6" ht="12.75">
      <c r="B159" s="507"/>
      <c r="C159" s="507"/>
      <c r="D159" s="507"/>
      <c r="E159" s="507"/>
      <c r="F159" s="507"/>
    </row>
    <row r="160" spans="2:6" ht="12.75">
      <c r="B160" s="507"/>
      <c r="C160" s="507"/>
      <c r="D160" s="507"/>
      <c r="E160" s="507"/>
      <c r="F160" s="507"/>
    </row>
    <row r="161" spans="2:6" ht="12.75">
      <c r="B161" s="507"/>
      <c r="C161" s="507"/>
      <c r="D161" s="507"/>
      <c r="E161" s="507"/>
      <c r="F161" s="507"/>
    </row>
    <row r="162" spans="2:6" ht="12.75">
      <c r="B162" s="507"/>
      <c r="C162" s="507"/>
      <c r="D162" s="507"/>
      <c r="E162" s="507"/>
      <c r="F162" s="507"/>
    </row>
    <row r="163" spans="2:6" ht="12.75">
      <c r="B163" s="507"/>
      <c r="C163" s="507"/>
      <c r="D163" s="507"/>
      <c r="E163" s="507"/>
      <c r="F163" s="507"/>
    </row>
    <row r="164" spans="2:6" ht="12.75">
      <c r="B164" s="507"/>
      <c r="C164" s="507"/>
      <c r="D164" s="507"/>
      <c r="E164" s="507"/>
      <c r="F164" s="507"/>
    </row>
    <row r="165" spans="2:6" ht="12.75">
      <c r="B165" s="507"/>
      <c r="C165" s="507"/>
      <c r="D165" s="507"/>
      <c r="E165" s="507"/>
      <c r="F165" s="507"/>
    </row>
    <row r="166" spans="2:6" ht="12.75">
      <c r="B166" s="507"/>
      <c r="C166" s="507"/>
      <c r="D166" s="507"/>
      <c r="E166" s="507"/>
      <c r="F166" s="507"/>
    </row>
    <row r="167" spans="2:6" ht="12.75">
      <c r="B167" s="507"/>
      <c r="C167" s="507"/>
      <c r="D167" s="507"/>
      <c r="E167" s="507"/>
      <c r="F167" s="507"/>
    </row>
    <row r="168" spans="2:6" ht="12.75">
      <c r="B168" s="507"/>
      <c r="C168" s="507"/>
      <c r="D168" s="507"/>
      <c r="E168" s="507"/>
      <c r="F168" s="507"/>
    </row>
    <row r="169" spans="2:6" ht="12.75">
      <c r="B169" s="507"/>
      <c r="C169" s="507"/>
      <c r="D169" s="507"/>
      <c r="E169" s="507"/>
      <c r="F169" s="507"/>
    </row>
    <row r="170" spans="2:6" ht="12.75">
      <c r="B170" s="507"/>
      <c r="C170" s="507"/>
      <c r="D170" s="507"/>
      <c r="E170" s="507"/>
      <c r="F170" s="507"/>
    </row>
    <row r="171" spans="2:6" ht="12.75">
      <c r="B171" s="507"/>
      <c r="C171" s="507"/>
      <c r="D171" s="507"/>
      <c r="E171" s="507"/>
      <c r="F171" s="507"/>
    </row>
    <row r="172" spans="2:6" ht="12.75">
      <c r="B172" s="507"/>
      <c r="C172" s="507"/>
      <c r="D172" s="507"/>
      <c r="E172" s="507"/>
      <c r="F172" s="507"/>
    </row>
    <row r="173" spans="2:6" ht="12.75">
      <c r="B173" s="507"/>
      <c r="C173" s="507"/>
      <c r="D173" s="507"/>
      <c r="E173" s="507"/>
      <c r="F173" s="507"/>
    </row>
    <row r="174" spans="2:6" ht="12.75">
      <c r="B174" s="507"/>
      <c r="C174" s="507"/>
      <c r="D174" s="507"/>
      <c r="E174" s="507"/>
      <c r="F174" s="507"/>
    </row>
    <row r="175" spans="2:6" ht="12.75">
      <c r="B175" s="507"/>
      <c r="C175" s="507"/>
      <c r="D175" s="507"/>
      <c r="E175" s="507"/>
      <c r="F175" s="507"/>
    </row>
    <row r="176" spans="2:6" ht="12.75">
      <c r="B176" s="507"/>
      <c r="C176" s="507"/>
      <c r="D176" s="507"/>
      <c r="E176" s="507"/>
      <c r="F176" s="507"/>
    </row>
    <row r="177" spans="2:6" ht="12.75">
      <c r="B177" s="507"/>
      <c r="C177" s="507"/>
      <c r="D177" s="507"/>
      <c r="E177" s="507"/>
      <c r="F177" s="507"/>
    </row>
    <row r="178" spans="2:6" ht="12.75">
      <c r="B178" s="507"/>
      <c r="C178" s="507"/>
      <c r="D178" s="507"/>
      <c r="E178" s="507"/>
      <c r="F178" s="507"/>
    </row>
    <row r="179" spans="2:6" ht="12.75">
      <c r="B179" s="507"/>
      <c r="C179" s="507"/>
      <c r="D179" s="507"/>
      <c r="E179" s="507"/>
      <c r="F179" s="507"/>
    </row>
    <row r="180" spans="2:6" ht="12.75">
      <c r="B180" s="507"/>
      <c r="C180" s="507"/>
      <c r="D180" s="507"/>
      <c r="E180" s="507"/>
      <c r="F180" s="507"/>
    </row>
    <row r="181" spans="2:6" ht="12.75">
      <c r="B181" s="507"/>
      <c r="C181" s="507"/>
      <c r="D181" s="507"/>
      <c r="E181" s="507"/>
      <c r="F181" s="507"/>
    </row>
    <row r="182" spans="2:6" ht="12.75">
      <c r="B182" s="507"/>
      <c r="C182" s="507"/>
      <c r="D182" s="507"/>
      <c r="E182" s="507"/>
      <c r="F182" s="507"/>
    </row>
    <row r="183" spans="2:6" ht="12.75">
      <c r="B183" s="507"/>
      <c r="C183" s="507"/>
      <c r="D183" s="507"/>
      <c r="E183" s="507"/>
      <c r="F183" s="507"/>
    </row>
    <row r="184" spans="2:6" ht="12.75">
      <c r="B184" s="507"/>
      <c r="C184" s="507"/>
      <c r="D184" s="507"/>
      <c r="E184" s="507"/>
      <c r="F184" s="507"/>
    </row>
    <row r="185" spans="2:6" ht="12.75">
      <c r="B185" s="507"/>
      <c r="C185" s="507"/>
      <c r="D185" s="507"/>
      <c r="E185" s="507"/>
      <c r="F185" s="507"/>
    </row>
    <row r="186" spans="2:6" ht="12.75">
      <c r="B186" s="507"/>
      <c r="C186" s="507"/>
      <c r="D186" s="507"/>
      <c r="E186" s="507"/>
      <c r="F186" s="507"/>
    </row>
    <row r="187" spans="2:6" ht="12.75">
      <c r="B187" s="507"/>
      <c r="C187" s="507"/>
      <c r="D187" s="507"/>
      <c r="E187" s="507"/>
      <c r="F187" s="507"/>
    </row>
    <row r="188" spans="2:6" ht="12.75">
      <c r="B188" s="507"/>
      <c r="C188" s="507"/>
      <c r="D188" s="507"/>
      <c r="E188" s="507"/>
      <c r="F188" s="507"/>
    </row>
    <row r="189" spans="2:6" ht="12.75">
      <c r="B189" s="507"/>
      <c r="C189" s="507"/>
      <c r="D189" s="507"/>
      <c r="E189" s="507"/>
      <c r="F189" s="507"/>
    </row>
    <row r="190" spans="2:6" ht="12.75">
      <c r="B190" s="507"/>
      <c r="C190" s="507"/>
      <c r="D190" s="507"/>
      <c r="E190" s="507"/>
      <c r="F190" s="507"/>
    </row>
    <row r="191" spans="2:6" ht="12.75">
      <c r="B191" s="507"/>
      <c r="C191" s="507"/>
      <c r="D191" s="507"/>
      <c r="E191" s="507"/>
      <c r="F191" s="507"/>
    </row>
    <row r="192" spans="2:6" ht="12.75">
      <c r="B192" s="507"/>
      <c r="C192" s="507"/>
      <c r="D192" s="507"/>
      <c r="E192" s="507"/>
      <c r="F192" s="507"/>
    </row>
    <row r="193" spans="2:6" ht="12.75">
      <c r="B193" s="507"/>
      <c r="C193" s="507"/>
      <c r="D193" s="507"/>
      <c r="E193" s="507"/>
      <c r="F193" s="507"/>
    </row>
    <row r="194" spans="2:6" ht="12.75">
      <c r="B194" s="507"/>
      <c r="C194" s="507"/>
      <c r="D194" s="507"/>
      <c r="E194" s="507"/>
      <c r="F194" s="507"/>
    </row>
    <row r="195" spans="2:6" ht="12.75">
      <c r="B195" s="507"/>
      <c r="C195" s="507"/>
      <c r="D195" s="507"/>
      <c r="E195" s="507"/>
      <c r="F195" s="507"/>
    </row>
    <row r="196" spans="2:6" ht="12.75">
      <c r="B196" s="507"/>
      <c r="C196" s="507"/>
      <c r="D196" s="507"/>
      <c r="E196" s="507"/>
      <c r="F196" s="507"/>
    </row>
    <row r="197" spans="2:6" ht="12.75">
      <c r="B197" s="507"/>
      <c r="C197" s="507"/>
      <c r="D197" s="507"/>
      <c r="E197" s="507"/>
      <c r="F197" s="507"/>
    </row>
    <row r="198" spans="2:6" ht="12.75">
      <c r="B198" s="507"/>
      <c r="C198" s="507"/>
      <c r="D198" s="507"/>
      <c r="E198" s="507"/>
      <c r="F198" s="507"/>
    </row>
    <row r="199" spans="2:6" ht="12.75">
      <c r="B199" s="507"/>
      <c r="C199" s="507"/>
      <c r="D199" s="507"/>
      <c r="E199" s="507"/>
      <c r="F199" s="507"/>
    </row>
    <row r="200" spans="2:6" ht="12.75">
      <c r="B200" s="507"/>
      <c r="C200" s="507"/>
      <c r="D200" s="507"/>
      <c r="E200" s="507"/>
      <c r="F200" s="507"/>
    </row>
    <row r="201" spans="2:6" ht="12.75">
      <c r="B201" s="507"/>
      <c r="C201" s="507"/>
      <c r="D201" s="507"/>
      <c r="E201" s="507"/>
      <c r="F201" s="507"/>
    </row>
    <row r="202" spans="2:6" ht="12.75">
      <c r="B202" s="507"/>
      <c r="C202" s="507"/>
      <c r="D202" s="507"/>
      <c r="E202" s="507"/>
      <c r="F202" s="507"/>
    </row>
    <row r="203" spans="2:6" ht="12.75">
      <c r="B203" s="507"/>
      <c r="C203" s="507"/>
      <c r="D203" s="507"/>
      <c r="E203" s="507"/>
      <c r="F203" s="507"/>
    </row>
    <row r="204" spans="2:6" ht="12.75">
      <c r="B204" s="507"/>
      <c r="C204" s="507"/>
      <c r="D204" s="507"/>
      <c r="E204" s="507"/>
      <c r="F204" s="507"/>
    </row>
    <row r="205" spans="2:6" ht="12.75">
      <c r="B205" s="507"/>
      <c r="C205" s="507"/>
      <c r="D205" s="507"/>
      <c r="E205" s="507"/>
      <c r="F205" s="507"/>
    </row>
    <row r="206" spans="2:6" ht="12.75">
      <c r="B206" s="507"/>
      <c r="C206" s="507"/>
      <c r="D206" s="507"/>
      <c r="E206" s="507"/>
      <c r="F206" s="507"/>
    </row>
    <row r="207" spans="2:6" ht="12.75">
      <c r="B207" s="507"/>
      <c r="C207" s="507"/>
      <c r="D207" s="507"/>
      <c r="E207" s="507"/>
      <c r="F207" s="507"/>
    </row>
    <row r="208" spans="2:6" ht="12.75">
      <c r="B208" s="507"/>
      <c r="C208" s="507"/>
      <c r="D208" s="507"/>
      <c r="E208" s="507"/>
      <c r="F208" s="507"/>
    </row>
    <row r="209" spans="2:6" ht="12.75">
      <c r="B209" s="507"/>
      <c r="C209" s="507"/>
      <c r="D209" s="507"/>
      <c r="E209" s="507"/>
      <c r="F209" s="507"/>
    </row>
    <row r="210" spans="2:6" ht="12.75">
      <c r="B210" s="507"/>
      <c r="C210" s="507"/>
      <c r="D210" s="507"/>
      <c r="E210" s="507"/>
      <c r="F210" s="507"/>
    </row>
    <row r="211" spans="2:6" ht="12.75">
      <c r="B211" s="507"/>
      <c r="C211" s="507"/>
      <c r="D211" s="507"/>
      <c r="E211" s="507"/>
      <c r="F211" s="507"/>
    </row>
    <row r="212" spans="2:6" ht="12.75">
      <c r="B212" s="507"/>
      <c r="C212" s="507"/>
      <c r="D212" s="507"/>
      <c r="E212" s="507"/>
      <c r="F212" s="507"/>
    </row>
    <row r="213" spans="2:6" ht="12.75">
      <c r="B213" s="507"/>
      <c r="C213" s="507"/>
      <c r="D213" s="507"/>
      <c r="E213" s="507"/>
      <c r="F213" s="507"/>
    </row>
    <row r="214" spans="2:6" ht="12.75">
      <c r="B214" s="507"/>
      <c r="C214" s="507"/>
      <c r="D214" s="507"/>
      <c r="E214" s="507"/>
      <c r="F214" s="507"/>
    </row>
    <row r="215" spans="2:6" ht="12.75">
      <c r="B215" s="507"/>
      <c r="C215" s="507"/>
      <c r="D215" s="507"/>
      <c r="E215" s="507"/>
      <c r="F215" s="507"/>
    </row>
    <row r="216" spans="2:6" ht="12.75">
      <c r="B216" s="507"/>
      <c r="C216" s="507"/>
      <c r="D216" s="507"/>
      <c r="E216" s="507"/>
      <c r="F216" s="507"/>
    </row>
    <row r="217" spans="2:6" ht="12.75">
      <c r="B217" s="507"/>
      <c r="C217" s="507"/>
      <c r="D217" s="507"/>
      <c r="E217" s="507"/>
      <c r="F217" s="507"/>
    </row>
    <row r="218" spans="2:6" ht="12.75">
      <c r="B218" s="507"/>
      <c r="C218" s="507"/>
      <c r="D218" s="507"/>
      <c r="E218" s="507"/>
      <c r="F218" s="507"/>
    </row>
    <row r="219" spans="2:6" ht="12.75">
      <c r="B219" s="507"/>
      <c r="C219" s="507"/>
      <c r="D219" s="507"/>
      <c r="E219" s="507"/>
      <c r="F219" s="507"/>
    </row>
    <row r="220" spans="2:6" ht="12.75">
      <c r="B220" s="507"/>
      <c r="C220" s="507"/>
      <c r="D220" s="507"/>
      <c r="E220" s="507"/>
      <c r="F220" s="507"/>
    </row>
    <row r="221" spans="2:6" ht="12.75">
      <c r="B221" s="507"/>
      <c r="C221" s="507"/>
      <c r="D221" s="507"/>
      <c r="E221" s="507"/>
      <c r="F221" s="507"/>
    </row>
    <row r="222" spans="2:6" ht="12.75">
      <c r="B222" s="507"/>
      <c r="C222" s="507"/>
      <c r="D222" s="507"/>
      <c r="E222" s="507"/>
      <c r="F222" s="507"/>
    </row>
    <row r="223" spans="2:6" ht="12.75">
      <c r="B223" s="507"/>
      <c r="C223" s="507"/>
      <c r="D223" s="507"/>
      <c r="E223" s="507"/>
      <c r="F223" s="507"/>
    </row>
    <row r="224" spans="2:6" ht="12.75">
      <c r="B224" s="507"/>
      <c r="C224" s="507"/>
      <c r="D224" s="507"/>
      <c r="E224" s="507"/>
      <c r="F224" s="507"/>
    </row>
    <row r="225" spans="2:6" ht="12.75">
      <c r="B225" s="507"/>
      <c r="C225" s="507"/>
      <c r="D225" s="507"/>
      <c r="E225" s="507"/>
      <c r="F225" s="507"/>
    </row>
    <row r="226" spans="2:6" ht="12.75">
      <c r="B226" s="507"/>
      <c r="C226" s="507"/>
      <c r="D226" s="507"/>
      <c r="E226" s="507"/>
      <c r="F226" s="507"/>
    </row>
    <row r="227" spans="2:6" ht="12.75">
      <c r="B227" s="507"/>
      <c r="C227" s="507"/>
      <c r="D227" s="507"/>
      <c r="E227" s="507"/>
      <c r="F227" s="507"/>
    </row>
    <row r="228" spans="2:6" ht="12.75">
      <c r="B228" s="507"/>
      <c r="C228" s="507"/>
      <c r="D228" s="507"/>
      <c r="E228" s="507"/>
      <c r="F228" s="507"/>
    </row>
    <row r="229" spans="2:6" ht="12.75">
      <c r="B229" s="507"/>
      <c r="C229" s="507"/>
      <c r="D229" s="507"/>
      <c r="E229" s="507"/>
      <c r="F229" s="507"/>
    </row>
    <row r="230" spans="2:6" ht="12.75">
      <c r="B230" s="507"/>
      <c r="C230" s="507"/>
      <c r="D230" s="507"/>
      <c r="E230" s="507"/>
      <c r="F230" s="507"/>
    </row>
    <row r="231" spans="2:6" ht="12.75">
      <c r="B231" s="507"/>
      <c r="C231" s="507"/>
      <c r="D231" s="507"/>
      <c r="E231" s="507"/>
      <c r="F231" s="507"/>
    </row>
    <row r="232" spans="2:6" ht="12.75">
      <c r="B232" s="507"/>
      <c r="C232" s="507"/>
      <c r="D232" s="507"/>
      <c r="E232" s="507"/>
      <c r="F232" s="507"/>
    </row>
    <row r="233" spans="2:6" ht="12.75">
      <c r="B233" s="507"/>
      <c r="C233" s="507"/>
      <c r="D233" s="507"/>
      <c r="E233" s="507"/>
      <c r="F233" s="507"/>
    </row>
    <row r="234" spans="2:6" ht="12.75">
      <c r="B234" s="507"/>
      <c r="C234" s="507"/>
      <c r="D234" s="507"/>
      <c r="E234" s="507"/>
      <c r="F234" s="507"/>
    </row>
    <row r="235" spans="2:6" ht="12.75">
      <c r="B235" s="507"/>
      <c r="C235" s="507"/>
      <c r="D235" s="507"/>
      <c r="E235" s="507"/>
      <c r="F235" s="507"/>
    </row>
    <row r="236" spans="2:6" ht="12.75">
      <c r="B236" s="507"/>
      <c r="C236" s="507"/>
      <c r="D236" s="507"/>
      <c r="E236" s="507"/>
      <c r="F236" s="507"/>
    </row>
    <row r="237" spans="2:6" ht="12.75">
      <c r="B237" s="507"/>
      <c r="C237" s="507"/>
      <c r="D237" s="507"/>
      <c r="E237" s="507"/>
      <c r="F237" s="507"/>
    </row>
    <row r="238" spans="2:6" ht="12.75">
      <c r="B238" s="507"/>
      <c r="C238" s="507"/>
      <c r="D238" s="507"/>
      <c r="E238" s="507"/>
      <c r="F238" s="507"/>
    </row>
    <row r="239" spans="2:6" ht="12.75">
      <c r="B239" s="507"/>
      <c r="C239" s="507"/>
      <c r="D239" s="507"/>
      <c r="E239" s="507"/>
      <c r="F239" s="507"/>
    </row>
    <row r="240" spans="2:6" ht="12.75">
      <c r="B240" s="507"/>
      <c r="C240" s="507"/>
      <c r="D240" s="507"/>
      <c r="E240" s="507"/>
      <c r="F240" s="507"/>
    </row>
    <row r="241" spans="2:6" ht="12.75">
      <c r="B241" s="507"/>
      <c r="C241" s="507"/>
      <c r="D241" s="507"/>
      <c r="E241" s="507"/>
      <c r="F241" s="507"/>
    </row>
    <row r="242" spans="2:6" ht="12.75">
      <c r="B242" s="507"/>
      <c r="C242" s="507"/>
      <c r="D242" s="507"/>
      <c r="E242" s="507"/>
      <c r="F242" s="507"/>
    </row>
    <row r="243" spans="2:6" ht="12.75">
      <c r="B243" s="507"/>
      <c r="C243" s="507"/>
      <c r="D243" s="507"/>
      <c r="E243" s="507"/>
      <c r="F243" s="507"/>
    </row>
    <row r="244" spans="2:6" ht="12.75">
      <c r="B244" s="507"/>
      <c r="C244" s="507"/>
      <c r="D244" s="507"/>
      <c r="E244" s="507"/>
      <c r="F244" s="507"/>
    </row>
    <row r="245" spans="2:6" ht="12.75">
      <c r="B245" s="507"/>
      <c r="C245" s="507"/>
      <c r="D245" s="507"/>
      <c r="E245" s="507"/>
      <c r="F245" s="507"/>
    </row>
    <row r="246" spans="2:6" ht="12.75">
      <c r="B246" s="507"/>
      <c r="C246" s="507"/>
      <c r="D246" s="507"/>
      <c r="E246" s="507"/>
      <c r="F246" s="507"/>
    </row>
    <row r="247" spans="2:6" ht="12.75">
      <c r="B247" s="507"/>
      <c r="C247" s="507"/>
      <c r="D247" s="507"/>
      <c r="E247" s="507"/>
      <c r="F247" s="507"/>
    </row>
    <row r="248" spans="2:6" ht="12.75">
      <c r="B248" s="507"/>
      <c r="C248" s="507"/>
      <c r="D248" s="507"/>
      <c r="E248" s="507"/>
      <c r="F248" s="507"/>
    </row>
    <row r="249" spans="2:6" ht="12.75">
      <c r="B249" s="507"/>
      <c r="C249" s="507"/>
      <c r="D249" s="507"/>
      <c r="E249" s="507"/>
      <c r="F249" s="507"/>
    </row>
    <row r="250" spans="2:6" ht="12.75">
      <c r="B250" s="507"/>
      <c r="C250" s="507"/>
      <c r="D250" s="507"/>
      <c r="E250" s="507"/>
      <c r="F250" s="507"/>
    </row>
    <row r="251" spans="2:6" ht="12.75">
      <c r="B251" s="507"/>
      <c r="C251" s="507"/>
      <c r="D251" s="507"/>
      <c r="E251" s="507"/>
      <c r="F251" s="507"/>
    </row>
    <row r="252" spans="2:6" ht="12.75">
      <c r="B252" s="507"/>
      <c r="C252" s="507"/>
      <c r="D252" s="507"/>
      <c r="E252" s="507"/>
      <c r="F252" s="507"/>
    </row>
    <row r="253" spans="2:6" ht="12.75">
      <c r="B253" s="507"/>
      <c r="C253" s="507"/>
      <c r="D253" s="507"/>
      <c r="E253" s="507"/>
      <c r="F253" s="507"/>
    </row>
    <row r="254" spans="2:6" ht="12.75">
      <c r="B254" s="507"/>
      <c r="C254" s="507"/>
      <c r="D254" s="507"/>
      <c r="E254" s="507"/>
      <c r="F254" s="507"/>
    </row>
    <row r="255" spans="2:6" ht="12.75">
      <c r="B255" s="507"/>
      <c r="C255" s="507"/>
      <c r="D255" s="507"/>
      <c r="E255" s="507"/>
      <c r="F255" s="507"/>
    </row>
    <row r="256" spans="2:6" ht="12.75">
      <c r="B256" s="507"/>
      <c r="C256" s="507"/>
      <c r="D256" s="507"/>
      <c r="E256" s="507"/>
      <c r="F256" s="507"/>
    </row>
    <row r="257" spans="2:6" ht="12.75">
      <c r="B257" s="507"/>
      <c r="C257" s="507"/>
      <c r="D257" s="507"/>
      <c r="E257" s="507"/>
      <c r="F257" s="507"/>
    </row>
    <row r="258" spans="2:6" ht="12.75">
      <c r="B258" s="507"/>
      <c r="C258" s="507"/>
      <c r="D258" s="507"/>
      <c r="E258" s="507"/>
      <c r="F258" s="507"/>
    </row>
    <row r="259" spans="2:6" ht="12.75">
      <c r="B259" s="507"/>
      <c r="C259" s="507"/>
      <c r="D259" s="507"/>
      <c r="E259" s="507"/>
      <c r="F259" s="507"/>
    </row>
    <row r="260" spans="2:6" ht="12.75">
      <c r="B260" s="507"/>
      <c r="C260" s="507"/>
      <c r="D260" s="507"/>
      <c r="E260" s="507"/>
      <c r="F260" s="507"/>
    </row>
    <row r="261" spans="2:6" ht="12.75">
      <c r="B261" s="507"/>
      <c r="C261" s="507"/>
      <c r="D261" s="507"/>
      <c r="E261" s="507"/>
      <c r="F261" s="507"/>
    </row>
    <row r="262" spans="2:6" ht="12.75">
      <c r="B262" s="507"/>
      <c r="C262" s="507"/>
      <c r="D262" s="507"/>
      <c r="E262" s="507"/>
      <c r="F262" s="507"/>
    </row>
    <row r="263" spans="2:6" ht="12.75">
      <c r="B263" s="507"/>
      <c r="C263" s="507"/>
      <c r="D263" s="507"/>
      <c r="E263" s="507"/>
      <c r="F263" s="507"/>
    </row>
    <row r="264" spans="2:6" ht="12.75">
      <c r="B264" s="507"/>
      <c r="C264" s="507"/>
      <c r="D264" s="507"/>
      <c r="E264" s="507"/>
      <c r="F264" s="507"/>
    </row>
    <row r="265" spans="2:6" ht="12.75">
      <c r="B265" s="507"/>
      <c r="C265" s="507"/>
      <c r="D265" s="507"/>
      <c r="E265" s="507"/>
      <c r="F265" s="507"/>
    </row>
    <row r="266" spans="2:6" ht="12.75">
      <c r="B266" s="507"/>
      <c r="C266" s="507"/>
      <c r="D266" s="507"/>
      <c r="E266" s="507"/>
      <c r="F266" s="507"/>
    </row>
    <row r="267" spans="2:6" ht="12.75">
      <c r="B267" s="507"/>
      <c r="C267" s="507"/>
      <c r="D267" s="507"/>
      <c r="E267" s="507"/>
      <c r="F267" s="507"/>
    </row>
    <row r="268" spans="2:6" ht="12.75">
      <c r="B268" s="507"/>
      <c r="C268" s="507"/>
      <c r="D268" s="507"/>
      <c r="E268" s="507"/>
      <c r="F268" s="507"/>
    </row>
    <row r="269" spans="2:6" ht="12.75">
      <c r="B269" s="507"/>
      <c r="C269" s="507"/>
      <c r="D269" s="507"/>
      <c r="E269" s="507"/>
      <c r="F269" s="507"/>
    </row>
    <row r="270" spans="2:6" ht="12.75">
      <c r="B270" s="507"/>
      <c r="C270" s="507"/>
      <c r="D270" s="507"/>
      <c r="E270" s="507"/>
      <c r="F270" s="507"/>
    </row>
    <row r="271" spans="2:6" ht="12.75">
      <c r="B271" s="507"/>
      <c r="C271" s="507"/>
      <c r="D271" s="507"/>
      <c r="E271" s="507"/>
      <c r="F271" s="507"/>
    </row>
    <row r="272" spans="2:6" ht="12.75">
      <c r="B272" s="507"/>
      <c r="C272" s="507"/>
      <c r="D272" s="507"/>
      <c r="E272" s="507"/>
      <c r="F272" s="507"/>
    </row>
    <row r="273" spans="2:6" ht="12.75">
      <c r="B273" s="507"/>
      <c r="C273" s="507"/>
      <c r="D273" s="507"/>
      <c r="E273" s="507"/>
      <c r="F273" s="507"/>
    </row>
    <row r="274" spans="2:6" ht="12.75">
      <c r="B274" s="507"/>
      <c r="C274" s="507"/>
      <c r="D274" s="507"/>
      <c r="E274" s="507"/>
      <c r="F274" s="507"/>
    </row>
    <row r="275" spans="2:6" ht="12.75">
      <c r="B275" s="507"/>
      <c r="C275" s="507"/>
      <c r="D275" s="507"/>
      <c r="E275" s="507"/>
      <c r="F275" s="507"/>
    </row>
    <row r="276" spans="2:6" ht="12.75">
      <c r="B276" s="507"/>
      <c r="C276" s="507"/>
      <c r="D276" s="507"/>
      <c r="E276" s="507"/>
      <c r="F276" s="507"/>
    </row>
    <row r="277" spans="2:6" ht="12.75">
      <c r="B277" s="507"/>
      <c r="C277" s="507"/>
      <c r="D277" s="507"/>
      <c r="E277" s="507"/>
      <c r="F277" s="507"/>
    </row>
    <row r="278" spans="2:6" ht="12.75">
      <c r="B278" s="507"/>
      <c r="C278" s="507"/>
      <c r="D278" s="507"/>
      <c r="E278" s="507"/>
      <c r="F278" s="507"/>
    </row>
    <row r="279" spans="2:6" ht="12.75">
      <c r="B279" s="507"/>
      <c r="C279" s="507"/>
      <c r="D279" s="507"/>
      <c r="E279" s="507"/>
      <c r="F279" s="507"/>
    </row>
    <row r="280" spans="2:6" ht="12.75">
      <c r="B280" s="507"/>
      <c r="C280" s="507"/>
      <c r="D280" s="507"/>
      <c r="E280" s="507"/>
      <c r="F280" s="507"/>
    </row>
    <row r="281" spans="2:6" ht="12.75">
      <c r="B281" s="507"/>
      <c r="C281" s="507"/>
      <c r="D281" s="507"/>
      <c r="E281" s="507"/>
      <c r="F281" s="507"/>
    </row>
    <row r="282" spans="2:6" ht="12.75">
      <c r="B282" s="507"/>
      <c r="C282" s="507"/>
      <c r="D282" s="507"/>
      <c r="E282" s="507"/>
      <c r="F282" s="507"/>
    </row>
    <row r="283" spans="2:6" ht="12.75">
      <c r="B283" s="507"/>
      <c r="C283" s="507"/>
      <c r="D283" s="507"/>
      <c r="E283" s="507"/>
      <c r="F283" s="507"/>
    </row>
    <row r="284" spans="2:6" ht="12.75">
      <c r="B284" s="507"/>
      <c r="C284" s="507"/>
      <c r="D284" s="507"/>
      <c r="E284" s="507"/>
      <c r="F284" s="507"/>
    </row>
    <row r="285" spans="2:6" ht="12.75">
      <c r="B285" s="507"/>
      <c r="C285" s="507"/>
      <c r="D285" s="507"/>
      <c r="E285" s="507"/>
      <c r="F285" s="507"/>
    </row>
    <row r="286" spans="2:6" ht="12.75">
      <c r="B286" s="507"/>
      <c r="C286" s="507"/>
      <c r="D286" s="507"/>
      <c r="E286" s="507"/>
      <c r="F286" s="507"/>
    </row>
    <row r="287" spans="2:6" ht="12.75">
      <c r="B287" s="507"/>
      <c r="C287" s="507"/>
      <c r="D287" s="507"/>
      <c r="E287" s="507"/>
      <c r="F287" s="507"/>
    </row>
    <row r="288" spans="2:6" ht="12.75">
      <c r="B288" s="507"/>
      <c r="C288" s="507"/>
      <c r="D288" s="507"/>
      <c r="E288" s="507"/>
      <c r="F288" s="507"/>
    </row>
    <row r="289" spans="2:6" ht="12.75">
      <c r="B289" s="507"/>
      <c r="C289" s="507"/>
      <c r="D289" s="507"/>
      <c r="E289" s="507"/>
      <c r="F289" s="507"/>
    </row>
    <row r="290" spans="2:6" ht="12.75">
      <c r="B290" s="507"/>
      <c r="C290" s="507"/>
      <c r="D290" s="507"/>
      <c r="E290" s="507"/>
      <c r="F290" s="507"/>
    </row>
    <row r="291" spans="2:6" ht="12.75">
      <c r="B291" s="507"/>
      <c r="C291" s="507"/>
      <c r="D291" s="507"/>
      <c r="E291" s="507"/>
      <c r="F291" s="507"/>
    </row>
    <row r="292" spans="2:6" ht="12.75">
      <c r="B292" s="507"/>
      <c r="C292" s="507"/>
      <c r="D292" s="507"/>
      <c r="E292" s="507"/>
      <c r="F292" s="507"/>
    </row>
    <row r="293" spans="2:6" ht="12.75">
      <c r="B293" s="507"/>
      <c r="C293" s="507"/>
      <c r="D293" s="507"/>
      <c r="E293" s="507"/>
      <c r="F293" s="507"/>
    </row>
    <row r="294" spans="2:6" ht="12.75">
      <c r="B294" s="507"/>
      <c r="C294" s="507"/>
      <c r="D294" s="507"/>
      <c r="E294" s="507"/>
      <c r="F294" s="507"/>
    </row>
    <row r="295" spans="2:6" ht="12.75">
      <c r="B295" s="507"/>
      <c r="C295" s="507"/>
      <c r="D295" s="507"/>
      <c r="E295" s="507"/>
      <c r="F295" s="507"/>
    </row>
    <row r="296" spans="2:6" ht="12.75">
      <c r="B296" s="507"/>
      <c r="C296" s="507"/>
      <c r="D296" s="507"/>
      <c r="E296" s="507"/>
      <c r="F296" s="507"/>
    </row>
    <row r="297" spans="2:6" ht="12.75">
      <c r="B297" s="507"/>
      <c r="C297" s="507"/>
      <c r="D297" s="507"/>
      <c r="E297" s="507"/>
      <c r="F297" s="507"/>
    </row>
    <row r="298" spans="2:6" ht="12.75">
      <c r="B298" s="507"/>
      <c r="C298" s="507"/>
      <c r="D298" s="507"/>
      <c r="E298" s="507"/>
      <c r="F298" s="507"/>
    </row>
    <row r="299" spans="2:6" ht="12.75">
      <c r="B299" s="507"/>
      <c r="C299" s="507"/>
      <c r="D299" s="507"/>
      <c r="E299" s="507"/>
      <c r="F299" s="507"/>
    </row>
    <row r="300" spans="2:6" ht="12.75">
      <c r="B300" s="507"/>
      <c r="C300" s="507"/>
      <c r="D300" s="507"/>
      <c r="E300" s="507"/>
      <c r="F300" s="507"/>
    </row>
    <row r="301" spans="2:6" ht="12.75">
      <c r="B301" s="507"/>
      <c r="C301" s="507"/>
      <c r="D301" s="507"/>
      <c r="E301" s="507"/>
      <c r="F301" s="507"/>
    </row>
    <row r="302" spans="2:6" ht="12.75">
      <c r="B302" s="507"/>
      <c r="C302" s="507"/>
      <c r="D302" s="507"/>
      <c r="E302" s="507"/>
      <c r="F302" s="507"/>
    </row>
    <row r="303" spans="2:6" ht="12.75">
      <c r="B303" s="507"/>
      <c r="C303" s="507"/>
      <c r="D303" s="507"/>
      <c r="E303" s="507"/>
      <c r="F303" s="507"/>
    </row>
    <row r="304" spans="2:6" ht="12.75">
      <c r="B304" s="507"/>
      <c r="C304" s="507"/>
      <c r="D304" s="507"/>
      <c r="E304" s="507"/>
      <c r="F304" s="507"/>
    </row>
    <row r="305" spans="2:6" ht="12.75">
      <c r="B305" s="507"/>
      <c r="C305" s="507"/>
      <c r="D305" s="507"/>
      <c r="E305" s="507"/>
      <c r="F305" s="507"/>
    </row>
    <row r="306" spans="2:6" ht="12.75">
      <c r="B306" s="507"/>
      <c r="C306" s="507"/>
      <c r="D306" s="507"/>
      <c r="E306" s="507"/>
      <c r="F306" s="507"/>
    </row>
    <row r="307" spans="2:6" ht="12.75">
      <c r="B307" s="507"/>
      <c r="C307" s="507"/>
      <c r="D307" s="507"/>
      <c r="E307" s="507"/>
      <c r="F307" s="507"/>
    </row>
    <row r="308" spans="2:6" ht="12.75">
      <c r="B308" s="507"/>
      <c r="C308" s="507"/>
      <c r="D308" s="507"/>
      <c r="E308" s="507"/>
      <c r="F308" s="507"/>
    </row>
    <row r="309" spans="2:6" ht="12.75">
      <c r="B309" s="507"/>
      <c r="C309" s="507"/>
      <c r="D309" s="507"/>
      <c r="E309" s="507"/>
      <c r="F309" s="507"/>
    </row>
    <row r="310" spans="2:6" ht="12.75">
      <c r="B310" s="507"/>
      <c r="C310" s="507"/>
      <c r="D310" s="507"/>
      <c r="E310" s="507"/>
      <c r="F310" s="507"/>
    </row>
    <row r="311" spans="2:6" ht="12.75">
      <c r="B311" s="507"/>
      <c r="C311" s="507"/>
      <c r="D311" s="507"/>
      <c r="E311" s="507"/>
      <c r="F311" s="507"/>
    </row>
    <row r="312" spans="2:6" ht="12.75">
      <c r="B312" s="507"/>
      <c r="C312" s="507"/>
      <c r="D312" s="507"/>
      <c r="E312" s="507"/>
      <c r="F312" s="507"/>
    </row>
    <row r="313" spans="2:6" ht="12.75">
      <c r="B313" s="507"/>
      <c r="C313" s="507"/>
      <c r="D313" s="507"/>
      <c r="E313" s="507"/>
      <c r="F313" s="507"/>
    </row>
    <row r="314" spans="2:6" ht="12.75">
      <c r="B314" s="507"/>
      <c r="C314" s="507"/>
      <c r="D314" s="507"/>
      <c r="E314" s="507"/>
      <c r="F314" s="507"/>
    </row>
    <row r="315" spans="2:6" ht="12.75">
      <c r="B315" s="507"/>
      <c r="C315" s="507"/>
      <c r="D315" s="507"/>
      <c r="E315" s="507"/>
      <c r="F315" s="507"/>
    </row>
    <row r="316" spans="2:6" ht="12.75">
      <c r="B316" s="507"/>
      <c r="C316" s="507"/>
      <c r="D316" s="507"/>
      <c r="E316" s="507"/>
      <c r="F316" s="507"/>
    </row>
    <row r="317" spans="2:6" ht="12.75">
      <c r="B317" s="507"/>
      <c r="C317" s="507"/>
      <c r="D317" s="507"/>
      <c r="E317" s="507"/>
      <c r="F317" s="507"/>
    </row>
    <row r="318" spans="2:6" ht="12.75">
      <c r="B318" s="507"/>
      <c r="C318" s="507"/>
      <c r="D318" s="507"/>
      <c r="E318" s="507"/>
      <c r="F318" s="507"/>
    </row>
    <row r="319" spans="2:6" ht="12.75">
      <c r="B319" s="507"/>
      <c r="C319" s="507"/>
      <c r="D319" s="507"/>
      <c r="E319" s="507"/>
      <c r="F319" s="507"/>
    </row>
    <row r="320" spans="2:6" ht="12.75">
      <c r="B320" s="507"/>
      <c r="C320" s="507"/>
      <c r="D320" s="507"/>
      <c r="E320" s="507"/>
      <c r="F320" s="507"/>
    </row>
    <row r="321" spans="2:6" ht="12.75">
      <c r="B321" s="507"/>
      <c r="C321" s="507"/>
      <c r="D321" s="507"/>
      <c r="E321" s="507"/>
      <c r="F321" s="507"/>
    </row>
    <row r="322" spans="2:6" ht="12.75">
      <c r="B322" s="507"/>
      <c r="C322" s="507"/>
      <c r="D322" s="507"/>
      <c r="E322" s="507"/>
      <c r="F322" s="507"/>
    </row>
    <row r="323" spans="2:6" ht="12.75">
      <c r="B323" s="507"/>
      <c r="C323" s="507"/>
      <c r="D323" s="507"/>
      <c r="E323" s="507"/>
      <c r="F323" s="507"/>
    </row>
    <row r="324" spans="2:6" ht="12.75">
      <c r="B324" s="507"/>
      <c r="C324" s="507"/>
      <c r="D324" s="507"/>
      <c r="E324" s="507"/>
      <c r="F324" s="507"/>
    </row>
    <row r="325" spans="2:6" ht="12.75">
      <c r="B325" s="507"/>
      <c r="C325" s="507"/>
      <c r="D325" s="507"/>
      <c r="E325" s="507"/>
      <c r="F325" s="507"/>
    </row>
    <row r="326" spans="2:6" ht="12.75">
      <c r="B326" s="507"/>
      <c r="C326" s="507"/>
      <c r="D326" s="507"/>
      <c r="E326" s="507"/>
      <c r="F326" s="507"/>
    </row>
    <row r="327" spans="2:6" ht="12.75">
      <c r="B327" s="507"/>
      <c r="C327" s="507"/>
      <c r="D327" s="507"/>
      <c r="E327" s="507"/>
      <c r="F327" s="507"/>
    </row>
    <row r="328" spans="2:6" ht="12.75">
      <c r="B328" s="507"/>
      <c r="C328" s="507"/>
      <c r="D328" s="507"/>
      <c r="E328" s="507"/>
      <c r="F328" s="507"/>
    </row>
    <row r="329" spans="2:6" ht="12.75">
      <c r="B329" s="507"/>
      <c r="C329" s="507"/>
      <c r="D329" s="507"/>
      <c r="E329" s="507"/>
      <c r="F329" s="507"/>
    </row>
    <row r="330" spans="2:6" ht="12.75">
      <c r="B330" s="507"/>
      <c r="C330" s="507"/>
      <c r="D330" s="507"/>
      <c r="E330" s="507"/>
      <c r="F330" s="507"/>
    </row>
    <row r="331" spans="2:6" ht="12.75">
      <c r="B331" s="507"/>
      <c r="C331" s="507"/>
      <c r="D331" s="507"/>
      <c r="E331" s="507"/>
      <c r="F331" s="507"/>
    </row>
    <row r="332" spans="2:6" ht="12.75">
      <c r="B332" s="507"/>
      <c r="C332" s="507"/>
      <c r="D332" s="507"/>
      <c r="E332" s="507"/>
      <c r="F332" s="507"/>
    </row>
    <row r="333" spans="2:6" ht="12.75">
      <c r="B333" s="507"/>
      <c r="C333" s="507"/>
      <c r="D333" s="507"/>
      <c r="E333" s="507"/>
      <c r="F333" s="507"/>
    </row>
    <row r="334" spans="2:6" ht="12.75">
      <c r="B334" s="507"/>
      <c r="C334" s="507"/>
      <c r="D334" s="507"/>
      <c r="E334" s="507"/>
      <c r="F334" s="507"/>
    </row>
    <row r="335" spans="2:6" ht="12.75">
      <c r="B335" s="507"/>
      <c r="C335" s="507"/>
      <c r="D335" s="507"/>
      <c r="E335" s="507"/>
      <c r="F335" s="507"/>
    </row>
    <row r="336" spans="2:6" ht="12.75">
      <c r="B336" s="507"/>
      <c r="C336" s="507"/>
      <c r="D336" s="507"/>
      <c r="E336" s="507"/>
      <c r="F336" s="507"/>
    </row>
    <row r="337" spans="2:6" ht="12.75">
      <c r="B337" s="507"/>
      <c r="C337" s="507"/>
      <c r="D337" s="507"/>
      <c r="E337" s="507"/>
      <c r="F337" s="507"/>
    </row>
    <row r="338" spans="2:6" ht="12.75">
      <c r="B338" s="507"/>
      <c r="C338" s="507"/>
      <c r="D338" s="507"/>
      <c r="E338" s="507"/>
      <c r="F338" s="507"/>
    </row>
    <row r="339" spans="2:6" ht="12.75">
      <c r="B339" s="507"/>
      <c r="C339" s="507"/>
      <c r="D339" s="507"/>
      <c r="E339" s="507"/>
      <c r="F339" s="507"/>
    </row>
    <row r="340" spans="2:6" ht="12.75">
      <c r="B340" s="507"/>
      <c r="C340" s="507"/>
      <c r="D340" s="507"/>
      <c r="E340" s="507"/>
      <c r="F340" s="507"/>
    </row>
    <row r="341" spans="2:6" ht="12.75">
      <c r="B341" s="507"/>
      <c r="C341" s="507"/>
      <c r="D341" s="507"/>
      <c r="E341" s="507"/>
      <c r="F341" s="507"/>
    </row>
    <row r="342" spans="2:6" ht="12.75">
      <c r="B342" s="507"/>
      <c r="C342" s="507"/>
      <c r="D342" s="507"/>
      <c r="E342" s="507"/>
      <c r="F342" s="507"/>
    </row>
    <row r="343" spans="2:6" ht="12.75">
      <c r="B343" s="507"/>
      <c r="C343" s="507"/>
      <c r="D343" s="507"/>
      <c r="E343" s="507"/>
      <c r="F343" s="507"/>
    </row>
    <row r="344" spans="2:6" ht="12.75">
      <c r="B344" s="507"/>
      <c r="C344" s="507"/>
      <c r="D344" s="507"/>
      <c r="E344" s="507"/>
      <c r="F344" s="507"/>
    </row>
    <row r="345" spans="2:6" ht="12.75">
      <c r="B345" s="507"/>
      <c r="C345" s="507"/>
      <c r="D345" s="507"/>
      <c r="E345" s="507"/>
      <c r="F345" s="507"/>
    </row>
    <row r="346" spans="2:6" ht="12.75">
      <c r="B346" s="507"/>
      <c r="C346" s="507"/>
      <c r="D346" s="507"/>
      <c r="E346" s="507"/>
      <c r="F346" s="507"/>
    </row>
    <row r="347" spans="2:6" ht="12.75">
      <c r="B347" s="507"/>
      <c r="C347" s="507"/>
      <c r="D347" s="507"/>
      <c r="E347" s="507"/>
      <c r="F347" s="507"/>
    </row>
    <row r="348" spans="2:6" ht="12.75">
      <c r="B348" s="507"/>
      <c r="C348" s="507"/>
      <c r="D348" s="507"/>
      <c r="E348" s="507"/>
      <c r="F348" s="507"/>
    </row>
    <row r="349" spans="2:6" ht="12.75">
      <c r="B349" s="507"/>
      <c r="C349" s="507"/>
      <c r="D349" s="507"/>
      <c r="E349" s="507"/>
      <c r="F349" s="507"/>
    </row>
    <row r="350" spans="2:6" ht="12.75">
      <c r="B350" s="507"/>
      <c r="C350" s="507"/>
      <c r="D350" s="507"/>
      <c r="E350" s="507"/>
      <c r="F350" s="507"/>
    </row>
    <row r="351" spans="2:6" ht="12.75">
      <c r="B351" s="507"/>
      <c r="C351" s="507"/>
      <c r="D351" s="507"/>
      <c r="E351" s="507"/>
      <c r="F351" s="507"/>
    </row>
    <row r="352" spans="2:6" ht="12.75">
      <c r="B352" s="507"/>
      <c r="C352" s="507"/>
      <c r="D352" s="507"/>
      <c r="E352" s="507"/>
      <c r="F352" s="507"/>
    </row>
    <row r="353" spans="2:6" ht="12.75">
      <c r="B353" s="507"/>
      <c r="C353" s="507"/>
      <c r="D353" s="507"/>
      <c r="E353" s="507"/>
      <c r="F353" s="507"/>
    </row>
    <row r="354" spans="2:6" ht="12.75">
      <c r="B354" s="507"/>
      <c r="C354" s="507"/>
      <c r="D354" s="507"/>
      <c r="E354" s="507"/>
      <c r="F354" s="507"/>
    </row>
    <row r="355" spans="2:6" ht="12.75">
      <c r="B355" s="507"/>
      <c r="C355" s="507"/>
      <c r="D355" s="507"/>
      <c r="E355" s="507"/>
      <c r="F355" s="507"/>
    </row>
    <row r="356" spans="2:6" ht="12.75">
      <c r="B356" s="507"/>
      <c r="C356" s="507"/>
      <c r="D356" s="507"/>
      <c r="E356" s="507"/>
      <c r="F356" s="507"/>
    </row>
    <row r="357" spans="2:6" ht="12.75">
      <c r="B357" s="507"/>
      <c r="C357" s="507"/>
      <c r="D357" s="507"/>
      <c r="E357" s="507"/>
      <c r="F357" s="507"/>
    </row>
    <row r="358" spans="2:6" ht="12.75">
      <c r="B358" s="507"/>
      <c r="C358" s="507"/>
      <c r="D358" s="507"/>
      <c r="E358" s="507"/>
      <c r="F358" s="507"/>
    </row>
    <row r="359" spans="2:6" ht="12.75">
      <c r="B359" s="507"/>
      <c r="C359" s="507"/>
      <c r="D359" s="507"/>
      <c r="E359" s="507"/>
      <c r="F359" s="507"/>
    </row>
    <row r="360" spans="2:6" ht="12.75">
      <c r="B360" s="507"/>
      <c r="C360" s="507"/>
      <c r="D360" s="507"/>
      <c r="E360" s="507"/>
      <c r="F360" s="507"/>
    </row>
    <row r="361" spans="2:6" ht="12.75">
      <c r="B361" s="507"/>
      <c r="C361" s="507"/>
      <c r="D361" s="507"/>
      <c r="E361" s="507"/>
      <c r="F361" s="507"/>
    </row>
    <row r="362" spans="2:6" ht="12.75">
      <c r="B362" s="507"/>
      <c r="C362" s="507"/>
      <c r="D362" s="507"/>
      <c r="E362" s="507"/>
      <c r="F362" s="507"/>
    </row>
    <row r="363" spans="2:6" ht="12.75">
      <c r="B363" s="507"/>
      <c r="C363" s="507"/>
      <c r="D363" s="507"/>
      <c r="E363" s="507"/>
      <c r="F363" s="507"/>
    </row>
    <row r="364" spans="2:6" ht="12.75">
      <c r="B364" s="507"/>
      <c r="C364" s="507"/>
      <c r="D364" s="507"/>
      <c r="E364" s="507"/>
      <c r="F364" s="507"/>
    </row>
    <row r="365" spans="2:6" ht="12.75">
      <c r="B365" s="507"/>
      <c r="C365" s="507"/>
      <c r="D365" s="507"/>
      <c r="E365" s="507"/>
      <c r="F365" s="507"/>
    </row>
    <row r="366" spans="2:6" ht="12.75">
      <c r="B366" s="507"/>
      <c r="C366" s="507"/>
      <c r="D366" s="507"/>
      <c r="E366" s="507"/>
      <c r="F366" s="507"/>
    </row>
    <row r="367" spans="2:6" ht="12.75">
      <c r="B367" s="507"/>
      <c r="C367" s="507"/>
      <c r="D367" s="507"/>
      <c r="E367" s="507"/>
      <c r="F367" s="507"/>
    </row>
    <row r="368" spans="2:6" ht="12.75">
      <c r="B368" s="507"/>
      <c r="C368" s="507"/>
      <c r="D368" s="507"/>
      <c r="E368" s="507"/>
      <c r="F368" s="507"/>
    </row>
    <row r="369" spans="2:6" ht="12.75">
      <c r="B369" s="507"/>
      <c r="C369" s="507"/>
      <c r="D369" s="507"/>
      <c r="E369" s="507"/>
      <c r="F369" s="507"/>
    </row>
    <row r="370" spans="2:6" ht="12.75">
      <c r="B370" s="507"/>
      <c r="C370" s="507"/>
      <c r="D370" s="507"/>
      <c r="E370" s="507"/>
      <c r="F370" s="507"/>
    </row>
    <row r="371" spans="2:6" ht="12.75">
      <c r="B371" s="507"/>
      <c r="C371" s="507"/>
      <c r="D371" s="507"/>
      <c r="E371" s="507"/>
      <c r="F371" s="507"/>
    </row>
    <row r="372" spans="2:6" ht="12.75">
      <c r="B372" s="507"/>
      <c r="C372" s="507"/>
      <c r="D372" s="507"/>
      <c r="E372" s="507"/>
      <c r="F372" s="507"/>
    </row>
    <row r="373" spans="2:6" ht="12.75">
      <c r="B373" s="507"/>
      <c r="C373" s="507"/>
      <c r="D373" s="507"/>
      <c r="E373" s="507"/>
      <c r="F373" s="507"/>
    </row>
    <row r="374" spans="2:6" ht="12.75">
      <c r="B374" s="507"/>
      <c r="C374" s="507"/>
      <c r="D374" s="507"/>
      <c r="E374" s="507"/>
      <c r="F374" s="507"/>
    </row>
    <row r="375" spans="2:6" ht="12.75">
      <c r="B375" s="507"/>
      <c r="C375" s="507"/>
      <c r="D375" s="507"/>
      <c r="E375" s="507"/>
      <c r="F375" s="507"/>
    </row>
    <row r="376" spans="2:6" ht="12.75">
      <c r="B376" s="507"/>
      <c r="C376" s="507"/>
      <c r="D376" s="507"/>
      <c r="E376" s="507"/>
      <c r="F376" s="507"/>
    </row>
    <row r="377" spans="2:6" ht="12.75">
      <c r="B377" s="507"/>
      <c r="C377" s="507"/>
      <c r="D377" s="507"/>
      <c r="E377" s="507"/>
      <c r="F377" s="507"/>
    </row>
    <row r="378" spans="2:6" ht="12.75">
      <c r="B378" s="507"/>
      <c r="C378" s="507"/>
      <c r="D378" s="507"/>
      <c r="E378" s="507"/>
      <c r="F378" s="507"/>
    </row>
    <row r="379" spans="2:6" ht="12.75">
      <c r="B379" s="507"/>
      <c r="C379" s="507"/>
      <c r="D379" s="507"/>
      <c r="E379" s="507"/>
      <c r="F379" s="507"/>
    </row>
    <row r="380" spans="2:6" ht="12.75">
      <c r="B380" s="507"/>
      <c r="C380" s="507"/>
      <c r="D380" s="507"/>
      <c r="E380" s="507"/>
      <c r="F380" s="507"/>
    </row>
    <row r="381" spans="2:6" ht="12.75">
      <c r="B381" s="507"/>
      <c r="C381" s="507"/>
      <c r="D381" s="507"/>
      <c r="E381" s="507"/>
      <c r="F381" s="507"/>
    </row>
    <row r="382" spans="2:6" ht="12.75">
      <c r="B382" s="507"/>
      <c r="C382" s="507"/>
      <c r="D382" s="507"/>
      <c r="E382" s="507"/>
      <c r="F382" s="507"/>
    </row>
    <row r="383" spans="2:6" ht="12.75">
      <c r="B383" s="507"/>
      <c r="C383" s="507"/>
      <c r="D383" s="507"/>
      <c r="E383" s="507"/>
      <c r="F383" s="507"/>
    </row>
    <row r="384" spans="2:6" ht="12.75">
      <c r="B384" s="507"/>
      <c r="C384" s="507"/>
      <c r="D384" s="507"/>
      <c r="E384" s="507"/>
      <c r="F384" s="507"/>
    </row>
    <row r="385" spans="2:6" ht="12.75">
      <c r="B385" s="507"/>
      <c r="C385" s="507"/>
      <c r="D385" s="507"/>
      <c r="E385" s="507"/>
      <c r="F385" s="507"/>
    </row>
    <row r="386" spans="2:6" ht="12.75">
      <c r="B386" s="507"/>
      <c r="C386" s="507"/>
      <c r="D386" s="507"/>
      <c r="E386" s="507"/>
      <c r="F386" s="507"/>
    </row>
    <row r="387" spans="2:6" ht="12.75">
      <c r="B387" s="507"/>
      <c r="C387" s="507"/>
      <c r="D387" s="507"/>
      <c r="E387" s="507"/>
      <c r="F387" s="507"/>
    </row>
    <row r="388" spans="2:6" ht="12.75">
      <c r="B388" s="507"/>
      <c r="C388" s="507"/>
      <c r="D388" s="507"/>
      <c r="E388" s="507"/>
      <c r="F388" s="507"/>
    </row>
    <row r="389" spans="2:6" ht="12.75">
      <c r="B389" s="507"/>
      <c r="C389" s="507"/>
      <c r="D389" s="507"/>
      <c r="E389" s="507"/>
      <c r="F389" s="507"/>
    </row>
    <row r="390" spans="2:6" ht="12.75">
      <c r="B390" s="507"/>
      <c r="C390" s="507"/>
      <c r="D390" s="507"/>
      <c r="E390" s="507"/>
      <c r="F390" s="507"/>
    </row>
    <row r="391" spans="2:6" ht="12.75">
      <c r="B391" s="507"/>
      <c r="C391" s="507"/>
      <c r="D391" s="507"/>
      <c r="E391" s="507"/>
      <c r="F391" s="507"/>
    </row>
    <row r="392" spans="2:6" ht="12.75">
      <c r="B392" s="507"/>
      <c r="C392" s="507"/>
      <c r="D392" s="507"/>
      <c r="E392" s="507"/>
      <c r="F392" s="507"/>
    </row>
    <row r="393" spans="2:6" ht="12.75">
      <c r="B393" s="507"/>
      <c r="C393" s="507"/>
      <c r="D393" s="507"/>
      <c r="E393" s="507"/>
      <c r="F393" s="507"/>
    </row>
    <row r="394" spans="2:6" ht="12.75">
      <c r="B394" s="507"/>
      <c r="C394" s="507"/>
      <c r="D394" s="507"/>
      <c r="E394" s="507"/>
      <c r="F394" s="507"/>
    </row>
    <row r="395" spans="2:6" ht="12.75">
      <c r="B395" s="507"/>
      <c r="C395" s="507"/>
      <c r="D395" s="507"/>
      <c r="E395" s="507"/>
      <c r="F395" s="507"/>
    </row>
    <row r="396" spans="2:6" ht="12.75">
      <c r="B396" s="507"/>
      <c r="C396" s="507"/>
      <c r="D396" s="507"/>
      <c r="E396" s="507"/>
      <c r="F396" s="507"/>
    </row>
    <row r="397" spans="2:6" ht="12.75">
      <c r="B397" s="507"/>
      <c r="C397" s="507"/>
      <c r="D397" s="507"/>
      <c r="E397" s="507"/>
      <c r="F397" s="507"/>
    </row>
    <row r="398" spans="2:6" ht="12.75">
      <c r="B398" s="507"/>
      <c r="C398" s="507"/>
      <c r="D398" s="507"/>
      <c r="E398" s="507"/>
      <c r="F398" s="507"/>
    </row>
    <row r="399" spans="2:6" ht="12.75">
      <c r="B399" s="507"/>
      <c r="C399" s="507"/>
      <c r="D399" s="507"/>
      <c r="E399" s="507"/>
      <c r="F399" s="507"/>
    </row>
    <row r="400" spans="2:6" ht="12.75">
      <c r="B400" s="507"/>
      <c r="C400" s="507"/>
      <c r="D400" s="507"/>
      <c r="E400" s="507"/>
      <c r="F400" s="507"/>
    </row>
    <row r="401" spans="2:6" ht="12.75">
      <c r="B401" s="507"/>
      <c r="C401" s="507"/>
      <c r="D401" s="507"/>
      <c r="E401" s="507"/>
      <c r="F401" s="507"/>
    </row>
    <row r="402" spans="2:6" ht="12.75">
      <c r="B402" s="507"/>
      <c r="C402" s="507"/>
      <c r="D402" s="507"/>
      <c r="E402" s="507"/>
      <c r="F402" s="507"/>
    </row>
    <row r="403" spans="2:6" ht="12.75">
      <c r="B403" s="507"/>
      <c r="C403" s="507"/>
      <c r="D403" s="507"/>
      <c r="E403" s="507"/>
      <c r="F403" s="507"/>
    </row>
    <row r="404" spans="2:6" ht="12.75">
      <c r="B404" s="507"/>
      <c r="C404" s="507"/>
      <c r="D404" s="507"/>
      <c r="E404" s="507"/>
      <c r="F404" s="507"/>
    </row>
    <row r="405" spans="2:6" ht="12.75">
      <c r="B405" s="507"/>
      <c r="C405" s="507"/>
      <c r="D405" s="507"/>
      <c r="E405" s="507"/>
      <c r="F405" s="507"/>
    </row>
    <row r="406" spans="2:6" ht="12.75">
      <c r="B406" s="507"/>
      <c r="C406" s="507"/>
      <c r="D406" s="507"/>
      <c r="E406" s="507"/>
      <c r="F406" s="507"/>
    </row>
    <row r="407" spans="2:6" ht="12.75">
      <c r="B407" s="507"/>
      <c r="C407" s="507"/>
      <c r="D407" s="507"/>
      <c r="E407" s="507"/>
      <c r="F407" s="507"/>
    </row>
    <row r="408" spans="2:6" ht="12.75">
      <c r="B408" s="507"/>
      <c r="C408" s="507"/>
      <c r="D408" s="507"/>
      <c r="E408" s="507"/>
      <c r="F408" s="507"/>
    </row>
    <row r="409" spans="2:6" ht="12.75">
      <c r="B409" s="507"/>
      <c r="C409" s="507"/>
      <c r="D409" s="507"/>
      <c r="E409" s="507"/>
      <c r="F409" s="507"/>
    </row>
    <row r="410" spans="2:6" ht="12.75">
      <c r="B410" s="507"/>
      <c r="C410" s="507"/>
      <c r="D410" s="507"/>
      <c r="E410" s="507"/>
      <c r="F410" s="507"/>
    </row>
    <row r="411" spans="2:6" ht="12.75">
      <c r="B411" s="507"/>
      <c r="C411" s="507"/>
      <c r="D411" s="507"/>
      <c r="E411" s="507"/>
      <c r="F411" s="507"/>
    </row>
    <row r="412" spans="2:6" ht="12.75">
      <c r="B412" s="507"/>
      <c r="C412" s="507"/>
      <c r="D412" s="507"/>
      <c r="E412" s="507"/>
      <c r="F412" s="507"/>
    </row>
    <row r="413" spans="2:6" ht="12.75">
      <c r="B413" s="507"/>
      <c r="C413" s="507"/>
      <c r="D413" s="507"/>
      <c r="E413" s="507"/>
      <c r="F413" s="507"/>
    </row>
    <row r="414" spans="2:6" ht="12.75">
      <c r="B414" s="507"/>
      <c r="C414" s="507"/>
      <c r="D414" s="507"/>
      <c r="E414" s="507"/>
      <c r="F414" s="507"/>
    </row>
    <row r="415" spans="2:6" ht="12.75">
      <c r="B415" s="507"/>
      <c r="C415" s="507"/>
      <c r="D415" s="507"/>
      <c r="E415" s="507"/>
      <c r="F415" s="507"/>
    </row>
    <row r="416" spans="2:6" ht="12.75">
      <c r="B416" s="507"/>
      <c r="C416" s="507"/>
      <c r="D416" s="507"/>
      <c r="E416" s="507"/>
      <c r="F416" s="507"/>
    </row>
    <row r="417" spans="2:6" ht="12.75">
      <c r="B417" s="507"/>
      <c r="C417" s="507"/>
      <c r="D417" s="507"/>
      <c r="E417" s="507"/>
      <c r="F417" s="507"/>
    </row>
    <row r="418" spans="2:6" ht="12.75">
      <c r="B418" s="507"/>
      <c r="C418" s="507"/>
      <c r="D418" s="507"/>
      <c r="E418" s="507"/>
      <c r="F418" s="507"/>
    </row>
    <row r="419" spans="2:6" ht="12.75">
      <c r="B419" s="507"/>
      <c r="C419" s="507"/>
      <c r="D419" s="507"/>
      <c r="E419" s="507"/>
      <c r="F419" s="507"/>
    </row>
    <row r="420" spans="2:6" ht="12.75">
      <c r="B420" s="507"/>
      <c r="C420" s="507"/>
      <c r="D420" s="507"/>
      <c r="E420" s="507"/>
      <c r="F420" s="507"/>
    </row>
    <row r="421" spans="2:6" ht="12.75">
      <c r="B421" s="507"/>
      <c r="C421" s="507"/>
      <c r="D421" s="507"/>
      <c r="E421" s="507"/>
      <c r="F421" s="507"/>
    </row>
    <row r="422" spans="2:6" ht="12.75">
      <c r="B422" s="507"/>
      <c r="C422" s="507"/>
      <c r="D422" s="507"/>
      <c r="E422" s="507"/>
      <c r="F422" s="507"/>
    </row>
    <row r="423" spans="2:6" ht="12.75">
      <c r="B423" s="507"/>
      <c r="C423" s="507"/>
      <c r="D423" s="507"/>
      <c r="E423" s="507"/>
      <c r="F423" s="507"/>
    </row>
    <row r="424" spans="2:6" ht="12.75">
      <c r="B424" s="507"/>
      <c r="C424" s="507"/>
      <c r="D424" s="507"/>
      <c r="E424" s="507"/>
      <c r="F424" s="507"/>
    </row>
    <row r="425" spans="2:6" ht="12.75">
      <c r="B425" s="507"/>
      <c r="C425" s="507"/>
      <c r="D425" s="507"/>
      <c r="E425" s="507"/>
      <c r="F425" s="507"/>
    </row>
    <row r="426" spans="2:6" ht="12.75">
      <c r="B426" s="507"/>
      <c r="C426" s="507"/>
      <c r="D426" s="507"/>
      <c r="E426" s="507"/>
      <c r="F426" s="507"/>
    </row>
    <row r="427" spans="2:6" ht="12.75">
      <c r="B427" s="507"/>
      <c r="C427" s="507"/>
      <c r="D427" s="507"/>
      <c r="E427" s="507"/>
      <c r="F427" s="507"/>
    </row>
    <row r="428" spans="2:6" ht="12.75">
      <c r="B428" s="507"/>
      <c r="C428" s="507"/>
      <c r="D428" s="507"/>
      <c r="E428" s="507"/>
      <c r="F428" s="507"/>
    </row>
    <row r="429" spans="2:6" ht="12.75">
      <c r="B429" s="507"/>
      <c r="C429" s="507"/>
      <c r="D429" s="507"/>
      <c r="E429" s="507"/>
      <c r="F429" s="507"/>
    </row>
    <row r="430" spans="2:6" ht="12.75">
      <c r="B430" s="507"/>
      <c r="C430" s="507"/>
      <c r="D430" s="507"/>
      <c r="E430" s="507"/>
      <c r="F430" s="507"/>
    </row>
    <row r="431" spans="2:6" ht="12.75">
      <c r="B431" s="507"/>
      <c r="C431" s="507"/>
      <c r="D431" s="507"/>
      <c r="E431" s="507"/>
      <c r="F431" s="507"/>
    </row>
    <row r="432" spans="2:6" ht="12.75">
      <c r="B432" s="507"/>
      <c r="C432" s="507"/>
      <c r="D432" s="507"/>
      <c r="E432" s="507"/>
      <c r="F432" s="507"/>
    </row>
    <row r="433" spans="2:6" ht="12.75">
      <c r="B433" s="507"/>
      <c r="C433" s="507"/>
      <c r="D433" s="507"/>
      <c r="E433" s="507"/>
      <c r="F433" s="507"/>
    </row>
    <row r="434" spans="2:6" ht="12.75">
      <c r="B434" s="507"/>
      <c r="C434" s="507"/>
      <c r="D434" s="507"/>
      <c r="E434" s="507"/>
      <c r="F434" s="507"/>
    </row>
    <row r="435" spans="2:6" ht="12.75">
      <c r="B435" s="507"/>
      <c r="C435" s="507"/>
      <c r="D435" s="507"/>
      <c r="E435" s="507"/>
      <c r="F435" s="507"/>
    </row>
    <row r="436" spans="2:6" ht="12.75">
      <c r="B436" s="507"/>
      <c r="C436" s="507"/>
      <c r="D436" s="507"/>
      <c r="E436" s="507"/>
      <c r="F436" s="507"/>
    </row>
    <row r="437" spans="2:6" ht="12.75">
      <c r="B437" s="507"/>
      <c r="C437" s="507"/>
      <c r="D437" s="507"/>
      <c r="E437" s="507"/>
      <c r="F437" s="507"/>
    </row>
    <row r="438" spans="2:6" ht="12.75">
      <c r="B438" s="507"/>
      <c r="C438" s="507"/>
      <c r="D438" s="507"/>
      <c r="E438" s="507"/>
      <c r="F438" s="507"/>
    </row>
    <row r="439" spans="2:6" ht="12.75">
      <c r="B439" s="507"/>
      <c r="C439" s="507"/>
      <c r="D439" s="507"/>
      <c r="E439" s="507"/>
      <c r="F439" s="507"/>
    </row>
    <row r="440" spans="2:6" ht="12.75">
      <c r="B440" s="507"/>
      <c r="C440" s="507"/>
      <c r="D440" s="507"/>
      <c r="E440" s="507"/>
      <c r="F440" s="507"/>
    </row>
    <row r="441" spans="2:6" ht="12.75">
      <c r="B441" s="507"/>
      <c r="C441" s="507"/>
      <c r="D441" s="507"/>
      <c r="E441" s="507"/>
      <c r="F441" s="507"/>
    </row>
    <row r="442" spans="2:6" ht="12.75">
      <c r="B442" s="507"/>
      <c r="C442" s="507"/>
      <c r="D442" s="507"/>
      <c r="E442" s="507"/>
      <c r="F442" s="507"/>
    </row>
    <row r="443" spans="2:6" ht="12.75">
      <c r="B443" s="507"/>
      <c r="C443" s="507"/>
      <c r="D443" s="507"/>
      <c r="E443" s="507"/>
      <c r="F443" s="507"/>
    </row>
    <row r="444" spans="2:6" ht="12.75">
      <c r="B444" s="507"/>
      <c r="C444" s="507"/>
      <c r="D444" s="507"/>
      <c r="E444" s="507"/>
      <c r="F444" s="507"/>
    </row>
    <row r="445" spans="2:6" ht="12.75">
      <c r="B445" s="507"/>
      <c r="C445" s="507"/>
      <c r="D445" s="507"/>
      <c r="E445" s="507"/>
      <c r="F445" s="507"/>
    </row>
    <row r="446" spans="2:6" ht="12.75">
      <c r="B446" s="507"/>
      <c r="C446" s="507"/>
      <c r="D446" s="507"/>
      <c r="E446" s="507"/>
      <c r="F446" s="507"/>
    </row>
    <row r="447" spans="2:6" ht="12.75">
      <c r="B447" s="507"/>
      <c r="C447" s="507"/>
      <c r="D447" s="507"/>
      <c r="E447" s="507"/>
      <c r="F447" s="507"/>
    </row>
    <row r="448" spans="2:6" ht="12.75">
      <c r="B448" s="507"/>
      <c r="C448" s="507"/>
      <c r="D448" s="507"/>
      <c r="E448" s="507"/>
      <c r="F448" s="507"/>
    </row>
    <row r="449" spans="2:6" ht="12.75">
      <c r="B449" s="507"/>
      <c r="C449" s="507"/>
      <c r="D449" s="507"/>
      <c r="E449" s="507"/>
      <c r="F449" s="507"/>
    </row>
    <row r="450" spans="2:6" ht="12.75">
      <c r="B450" s="507"/>
      <c r="C450" s="507"/>
      <c r="D450" s="507"/>
      <c r="E450" s="507"/>
      <c r="F450" s="507"/>
    </row>
    <row r="451" spans="2:6" ht="12.75">
      <c r="B451" s="507"/>
      <c r="C451" s="507"/>
      <c r="D451" s="507"/>
      <c r="E451" s="507"/>
      <c r="F451" s="507"/>
    </row>
    <row r="452" spans="2:6" ht="12.75">
      <c r="B452" s="507"/>
      <c r="C452" s="507"/>
      <c r="D452" s="507"/>
      <c r="E452" s="507"/>
      <c r="F452" s="507"/>
    </row>
    <row r="453" spans="2:6" ht="12.75">
      <c r="B453" s="507"/>
      <c r="C453" s="507"/>
      <c r="D453" s="507"/>
      <c r="E453" s="507"/>
      <c r="F453" s="507"/>
    </row>
    <row r="454" spans="2:6" ht="12.75">
      <c r="B454" s="507"/>
      <c r="C454" s="507"/>
      <c r="D454" s="507"/>
      <c r="E454" s="507"/>
      <c r="F454" s="507"/>
    </row>
    <row r="455" spans="2:6" ht="12.75">
      <c r="B455" s="507"/>
      <c r="C455" s="507"/>
      <c r="D455" s="507"/>
      <c r="E455" s="507"/>
      <c r="F455" s="507"/>
    </row>
    <row r="456" spans="2:6" ht="12.75">
      <c r="B456" s="507"/>
      <c r="C456" s="507"/>
      <c r="D456" s="507"/>
      <c r="E456" s="507"/>
      <c r="F456" s="507"/>
    </row>
    <row r="457" spans="2:6" ht="12.75">
      <c r="B457" s="507"/>
      <c r="C457" s="507"/>
      <c r="D457" s="507"/>
      <c r="E457" s="507"/>
      <c r="F457" s="507"/>
    </row>
    <row r="458" spans="2:6" ht="12.75">
      <c r="B458" s="507"/>
      <c r="C458" s="507"/>
      <c r="D458" s="507"/>
      <c r="E458" s="507"/>
      <c r="F458" s="507"/>
    </row>
    <row r="459" spans="2:6" ht="12.75">
      <c r="B459" s="507"/>
      <c r="C459" s="507"/>
      <c r="D459" s="507"/>
      <c r="E459" s="507"/>
      <c r="F459" s="507"/>
    </row>
    <row r="460" spans="2:6" ht="12.75">
      <c r="B460" s="507"/>
      <c r="C460" s="507"/>
      <c r="D460" s="507"/>
      <c r="E460" s="507"/>
      <c r="F460" s="507"/>
    </row>
    <row r="461" spans="2:6" ht="12.75">
      <c r="B461" s="507"/>
      <c r="C461" s="507"/>
      <c r="D461" s="507"/>
      <c r="E461" s="507"/>
      <c r="F461" s="507"/>
    </row>
    <row r="462" spans="2:6" ht="12.75">
      <c r="B462" s="507"/>
      <c r="C462" s="507"/>
      <c r="D462" s="507"/>
      <c r="E462" s="507"/>
      <c r="F462" s="507"/>
    </row>
    <row r="463" spans="2:6" ht="12.75">
      <c r="B463" s="507"/>
      <c r="C463" s="507"/>
      <c r="D463" s="507"/>
      <c r="E463" s="507"/>
      <c r="F463" s="507"/>
    </row>
    <row r="464" spans="2:6" ht="12.75">
      <c r="B464" s="507"/>
      <c r="C464" s="507"/>
      <c r="D464" s="507"/>
      <c r="E464" s="507"/>
      <c r="F464" s="507"/>
    </row>
    <row r="465" spans="2:6" ht="12.75">
      <c r="B465" s="507"/>
      <c r="C465" s="507"/>
      <c r="D465" s="507"/>
      <c r="E465" s="507"/>
      <c r="F465" s="507"/>
    </row>
    <row r="466" spans="2:6" ht="12.75">
      <c r="B466" s="507"/>
      <c r="C466" s="507"/>
      <c r="D466" s="507"/>
      <c r="E466" s="507"/>
      <c r="F466" s="507"/>
    </row>
    <row r="467" spans="2:6" ht="12.75">
      <c r="B467" s="507"/>
      <c r="C467" s="507"/>
      <c r="D467" s="507"/>
      <c r="E467" s="507"/>
      <c r="F467" s="507"/>
    </row>
    <row r="468" spans="2:6" ht="12.75">
      <c r="B468" s="507"/>
      <c r="C468" s="507"/>
      <c r="D468" s="507"/>
      <c r="E468" s="507"/>
      <c r="F468" s="507"/>
    </row>
    <row r="469" spans="2:6" ht="12.75">
      <c r="B469" s="507"/>
      <c r="C469" s="507"/>
      <c r="D469" s="507"/>
      <c r="E469" s="507"/>
      <c r="F469" s="507"/>
    </row>
    <row r="470" spans="2:6" ht="12.75">
      <c r="B470" s="507"/>
      <c r="C470" s="507"/>
      <c r="D470" s="507"/>
      <c r="E470" s="507"/>
      <c r="F470" s="507"/>
    </row>
    <row r="471" spans="2:6" ht="12.75">
      <c r="B471" s="507"/>
      <c r="C471" s="507"/>
      <c r="D471" s="507"/>
      <c r="E471" s="507"/>
      <c r="F471" s="507"/>
    </row>
    <row r="472" spans="2:6" ht="12.75">
      <c r="B472" s="507"/>
      <c r="C472" s="507"/>
      <c r="D472" s="507"/>
      <c r="E472" s="507"/>
      <c r="F472" s="507"/>
    </row>
    <row r="473" spans="2:6" ht="12.75">
      <c r="B473" s="507"/>
      <c r="C473" s="507"/>
      <c r="D473" s="507"/>
      <c r="E473" s="507"/>
      <c r="F473" s="507"/>
    </row>
    <row r="474" spans="2:6" ht="12.75">
      <c r="B474" s="507"/>
      <c r="C474" s="507"/>
      <c r="D474" s="507"/>
      <c r="E474" s="507"/>
      <c r="F474" s="507"/>
    </row>
    <row r="475" spans="2:6" ht="12.75">
      <c r="B475" s="507"/>
      <c r="C475" s="507"/>
      <c r="D475" s="507"/>
      <c r="E475" s="507"/>
      <c r="F475" s="507"/>
    </row>
    <row r="476" spans="2:6" ht="12.75">
      <c r="B476" s="507"/>
      <c r="C476" s="507"/>
      <c r="D476" s="507"/>
      <c r="E476" s="507"/>
      <c r="F476" s="507"/>
    </row>
    <row r="477" spans="2:6" ht="12.75">
      <c r="B477" s="507"/>
      <c r="C477" s="507"/>
      <c r="D477" s="507"/>
      <c r="E477" s="507"/>
      <c r="F477" s="507"/>
    </row>
    <row r="478" spans="2:6" ht="12.75">
      <c r="B478" s="507"/>
      <c r="C478" s="507"/>
      <c r="D478" s="507"/>
      <c r="E478" s="507"/>
      <c r="F478" s="507"/>
    </row>
    <row r="479" spans="2:6" ht="12.75">
      <c r="B479" s="507"/>
      <c r="C479" s="507"/>
      <c r="D479" s="507"/>
      <c r="E479" s="507"/>
      <c r="F479" s="507"/>
    </row>
    <row r="480" spans="2:6" ht="12.75">
      <c r="B480" s="507"/>
      <c r="C480" s="507"/>
      <c r="D480" s="507"/>
      <c r="E480" s="507"/>
      <c r="F480" s="507"/>
    </row>
    <row r="481" spans="2:6" ht="12.75">
      <c r="B481" s="507"/>
      <c r="C481" s="507"/>
      <c r="D481" s="507"/>
      <c r="E481" s="507"/>
      <c r="F481" s="507"/>
    </row>
    <row r="482" spans="2:6" ht="12.75">
      <c r="B482" s="507"/>
      <c r="C482" s="507"/>
      <c r="D482" s="507"/>
      <c r="E482" s="507"/>
      <c r="F482" s="507"/>
    </row>
    <row r="483" spans="2:6" ht="12.75">
      <c r="B483" s="507"/>
      <c r="C483" s="507"/>
      <c r="D483" s="507"/>
      <c r="E483" s="507"/>
      <c r="F483" s="507"/>
    </row>
    <row r="484" spans="2:6" ht="12.75">
      <c r="B484" s="507"/>
      <c r="C484" s="507"/>
      <c r="D484" s="507"/>
      <c r="E484" s="507"/>
      <c r="F484" s="507"/>
    </row>
    <row r="485" spans="2:6" ht="12.75">
      <c r="B485" s="507"/>
      <c r="C485" s="507"/>
      <c r="D485" s="507"/>
      <c r="E485" s="507"/>
      <c r="F485" s="507"/>
    </row>
    <row r="486" spans="2:6" ht="12.75">
      <c r="B486" s="507"/>
      <c r="C486" s="507"/>
      <c r="D486" s="507"/>
      <c r="E486" s="507"/>
      <c r="F486" s="507"/>
    </row>
    <row r="487" spans="2:6" ht="12.75">
      <c r="B487" s="507"/>
      <c r="C487" s="507"/>
      <c r="D487" s="507"/>
      <c r="E487" s="507"/>
      <c r="F487" s="507"/>
    </row>
    <row r="488" spans="2:6" ht="12.75">
      <c r="B488" s="507"/>
      <c r="C488" s="507"/>
      <c r="D488" s="507"/>
      <c r="E488" s="507"/>
      <c r="F488" s="507"/>
    </row>
    <row r="489" spans="2:6" ht="12.75">
      <c r="B489" s="507"/>
      <c r="C489" s="507"/>
      <c r="D489" s="507"/>
      <c r="E489" s="507"/>
      <c r="F489" s="507"/>
    </row>
    <row r="490" spans="2:6" ht="12.75">
      <c r="B490" s="507"/>
      <c r="C490" s="507"/>
      <c r="D490" s="507"/>
      <c r="E490" s="507"/>
      <c r="F490" s="507"/>
    </row>
    <row r="491" spans="2:6" ht="12.75">
      <c r="B491" s="507"/>
      <c r="C491" s="507"/>
      <c r="D491" s="507"/>
      <c r="E491" s="507"/>
      <c r="F491" s="507"/>
    </row>
    <row r="492" spans="2:6" ht="12.75">
      <c r="B492" s="507"/>
      <c r="C492" s="507"/>
      <c r="D492" s="507"/>
      <c r="E492" s="507"/>
      <c r="F492" s="507"/>
    </row>
    <row r="493" spans="2:6" ht="12.75">
      <c r="B493" s="507"/>
      <c r="C493" s="507"/>
      <c r="D493" s="507"/>
      <c r="E493" s="507"/>
      <c r="F493" s="507"/>
    </row>
    <row r="494" spans="2:6" ht="12.75">
      <c r="B494" s="507"/>
      <c r="C494" s="507"/>
      <c r="D494" s="507"/>
      <c r="E494" s="507"/>
      <c r="F494" s="507"/>
    </row>
    <row r="495" spans="2:6" ht="12.75">
      <c r="B495" s="507"/>
      <c r="C495" s="507"/>
      <c r="D495" s="507"/>
      <c r="E495" s="507"/>
      <c r="F495" s="507"/>
    </row>
    <row r="496" spans="2:6" ht="12.75">
      <c r="B496" s="507"/>
      <c r="C496" s="507"/>
      <c r="D496" s="507"/>
      <c r="E496" s="507"/>
      <c r="F496" s="507"/>
    </row>
    <row r="497" spans="2:6" ht="12.75">
      <c r="B497" s="507"/>
      <c r="C497" s="507"/>
      <c r="D497" s="507"/>
      <c r="E497" s="507"/>
      <c r="F497" s="507"/>
    </row>
    <row r="498" spans="2:6" ht="12.75">
      <c r="B498" s="507"/>
      <c r="C498" s="507"/>
      <c r="D498" s="507"/>
      <c r="E498" s="507"/>
      <c r="F498" s="507"/>
    </row>
    <row r="499" spans="2:6" ht="12.75">
      <c r="B499" s="507"/>
      <c r="C499" s="507"/>
      <c r="D499" s="507"/>
      <c r="E499" s="507"/>
      <c r="F499" s="507"/>
    </row>
    <row r="500" spans="2:6" ht="12.75">
      <c r="B500" s="507"/>
      <c r="C500" s="507"/>
      <c r="D500" s="507"/>
      <c r="E500" s="507"/>
      <c r="F500" s="507"/>
    </row>
    <row r="501" spans="2:6" ht="12.75">
      <c r="B501" s="507"/>
      <c r="C501" s="507"/>
      <c r="D501" s="507"/>
      <c r="E501" s="507"/>
      <c r="F501" s="507"/>
    </row>
    <row r="502" spans="2:6" ht="12.75">
      <c r="B502" s="507"/>
      <c r="C502" s="507"/>
      <c r="D502" s="507"/>
      <c r="E502" s="507"/>
      <c r="F502" s="507"/>
    </row>
    <row r="503" spans="2:6" ht="12.75">
      <c r="B503" s="507"/>
      <c r="C503" s="507"/>
      <c r="D503" s="507"/>
      <c r="E503" s="507"/>
      <c r="F503" s="507"/>
    </row>
    <row r="504" spans="2:6" ht="12.75">
      <c r="B504" s="507"/>
      <c r="C504" s="507"/>
      <c r="D504" s="507"/>
      <c r="E504" s="507"/>
      <c r="F504" s="507"/>
    </row>
    <row r="505" spans="2:6" ht="12.75">
      <c r="B505" s="507"/>
      <c r="C505" s="507"/>
      <c r="D505" s="507"/>
      <c r="E505" s="507"/>
      <c r="F505" s="507"/>
    </row>
    <row r="506" spans="2:6" ht="12.75">
      <c r="B506" s="507"/>
      <c r="C506" s="507"/>
      <c r="D506" s="507"/>
      <c r="E506" s="507"/>
      <c r="F506" s="507"/>
    </row>
    <row r="507" spans="2:6" ht="12.75">
      <c r="B507" s="507"/>
      <c r="C507" s="507"/>
      <c r="D507" s="507"/>
      <c r="E507" s="507"/>
      <c r="F507" s="507"/>
    </row>
    <row r="508" spans="2:6" ht="12.75">
      <c r="B508" s="507"/>
      <c r="C508" s="507"/>
      <c r="D508" s="507"/>
      <c r="E508" s="507"/>
      <c r="F508" s="507"/>
    </row>
    <row r="509" spans="2:6" ht="12.75">
      <c r="B509" s="507"/>
      <c r="C509" s="507"/>
      <c r="D509" s="507"/>
      <c r="E509" s="507"/>
      <c r="F509" s="507"/>
    </row>
    <row r="510" spans="2:6" ht="12.75">
      <c r="B510" s="507"/>
      <c r="C510" s="507"/>
      <c r="D510" s="507"/>
      <c r="E510" s="507"/>
      <c r="F510" s="507"/>
    </row>
    <row r="511" spans="2:6" ht="12.75">
      <c r="B511" s="507"/>
      <c r="C511" s="507"/>
      <c r="D511" s="507"/>
      <c r="E511" s="507"/>
      <c r="F511" s="507"/>
    </row>
    <row r="512" spans="2:6" ht="12.75">
      <c r="B512" s="507"/>
      <c r="C512" s="507"/>
      <c r="D512" s="507"/>
      <c r="E512" s="507"/>
      <c r="F512" s="507"/>
    </row>
    <row r="513" spans="2:6" ht="12.75">
      <c r="B513" s="507"/>
      <c r="C513" s="507"/>
      <c r="D513" s="507"/>
      <c r="E513" s="507"/>
      <c r="F513" s="507"/>
    </row>
    <row r="514" spans="2:6" ht="12.75">
      <c r="B514" s="507"/>
      <c r="C514" s="507"/>
      <c r="D514" s="507"/>
      <c r="E514" s="507"/>
      <c r="F514" s="507"/>
    </row>
    <row r="515" spans="2:6" ht="12.75">
      <c r="B515" s="507"/>
      <c r="C515" s="507"/>
      <c r="D515" s="507"/>
      <c r="E515" s="507"/>
      <c r="F515" s="507"/>
    </row>
    <row r="516" spans="2:6" ht="12.75">
      <c r="B516" s="507"/>
      <c r="C516" s="507"/>
      <c r="D516" s="507"/>
      <c r="E516" s="507"/>
      <c r="F516" s="507"/>
    </row>
    <row r="517" spans="2:6" ht="12.75">
      <c r="B517" s="507"/>
      <c r="C517" s="507"/>
      <c r="D517" s="507"/>
      <c r="E517" s="507"/>
      <c r="F517" s="507"/>
    </row>
    <row r="518" spans="2:6" ht="12.75">
      <c r="B518" s="507"/>
      <c r="C518" s="507"/>
      <c r="D518" s="507"/>
      <c r="E518" s="507"/>
      <c r="F518" s="507"/>
    </row>
    <row r="519" spans="2:6" ht="12.75">
      <c r="B519" s="507"/>
      <c r="C519" s="507"/>
      <c r="D519" s="507"/>
      <c r="E519" s="507"/>
      <c r="F519" s="507"/>
    </row>
    <row r="520" spans="2:6" ht="12.75">
      <c r="B520" s="507"/>
      <c r="C520" s="507"/>
      <c r="D520" s="507"/>
      <c r="E520" s="507"/>
      <c r="F520" s="507"/>
    </row>
    <row r="521" spans="2:6" ht="12.75">
      <c r="B521" s="507"/>
      <c r="C521" s="507"/>
      <c r="D521" s="507"/>
      <c r="E521" s="507"/>
      <c r="F521" s="507"/>
    </row>
    <row r="522" spans="2:6" ht="12.75">
      <c r="B522" s="507"/>
      <c r="C522" s="507"/>
      <c r="D522" s="507"/>
      <c r="E522" s="507"/>
      <c r="F522" s="507"/>
    </row>
    <row r="523" spans="2:6" ht="12.75">
      <c r="B523" s="507"/>
      <c r="C523" s="507"/>
      <c r="D523" s="507"/>
      <c r="E523" s="507"/>
      <c r="F523" s="507"/>
    </row>
    <row r="524" spans="2:6" ht="12.75">
      <c r="B524" s="507"/>
      <c r="C524" s="507"/>
      <c r="D524" s="507"/>
      <c r="E524" s="507"/>
      <c r="F524" s="507"/>
    </row>
    <row r="525" spans="2:6" ht="12.75">
      <c r="B525" s="507"/>
      <c r="C525" s="507"/>
      <c r="D525" s="507"/>
      <c r="E525" s="507"/>
      <c r="F525" s="507"/>
    </row>
    <row r="526" spans="2:6" ht="12.75">
      <c r="B526" s="507"/>
      <c r="C526" s="507"/>
      <c r="D526" s="507"/>
      <c r="E526" s="507"/>
      <c r="F526" s="507"/>
    </row>
    <row r="527" spans="2:6" ht="12.75">
      <c r="B527" s="507"/>
      <c r="C527" s="507"/>
      <c r="D527" s="507"/>
      <c r="E527" s="507"/>
      <c r="F527" s="507"/>
    </row>
    <row r="528" spans="2:6" ht="12.75">
      <c r="B528" s="507"/>
      <c r="C528" s="507"/>
      <c r="D528" s="507"/>
      <c r="E528" s="507"/>
      <c r="F528" s="507"/>
    </row>
    <row r="529" spans="2:6" ht="12.75">
      <c r="B529" s="507"/>
      <c r="C529" s="507"/>
      <c r="D529" s="507"/>
      <c r="E529" s="507"/>
      <c r="F529" s="507"/>
    </row>
    <row r="530" spans="2:6" ht="12.75">
      <c r="B530" s="507"/>
      <c r="C530" s="507"/>
      <c r="D530" s="507"/>
      <c r="E530" s="507"/>
      <c r="F530" s="507"/>
    </row>
    <row r="531" spans="2:6" ht="12.75">
      <c r="B531" s="507"/>
      <c r="C531" s="507"/>
      <c r="D531" s="507"/>
      <c r="E531" s="507"/>
      <c r="F531" s="507"/>
    </row>
    <row r="532" spans="2:6" ht="12.75">
      <c r="B532" s="507"/>
      <c r="C532" s="507"/>
      <c r="D532" s="507"/>
      <c r="E532" s="507"/>
      <c r="F532" s="507"/>
    </row>
    <row r="533" spans="2:6" ht="12.75">
      <c r="B533" s="507"/>
      <c r="C533" s="507"/>
      <c r="D533" s="507"/>
      <c r="E533" s="507"/>
      <c r="F533" s="507"/>
    </row>
    <row r="534" spans="2:6" ht="12.75">
      <c r="B534" s="507"/>
      <c r="C534" s="507"/>
      <c r="D534" s="507"/>
      <c r="E534" s="507"/>
      <c r="F534" s="507"/>
    </row>
    <row r="535" spans="2:6" ht="12.75">
      <c r="B535" s="507"/>
      <c r="C535" s="507"/>
      <c r="D535" s="507"/>
      <c r="E535" s="507"/>
      <c r="F535" s="507"/>
    </row>
    <row r="536" spans="2:6" ht="12.75">
      <c r="B536" s="507"/>
      <c r="C536" s="507"/>
      <c r="D536" s="507"/>
      <c r="E536" s="507"/>
      <c r="F536" s="507"/>
    </row>
    <row r="537" spans="2:6" ht="12.75">
      <c r="B537" s="507"/>
      <c r="C537" s="507"/>
      <c r="D537" s="507"/>
      <c r="E537" s="507"/>
      <c r="F537" s="507"/>
    </row>
    <row r="538" spans="2:6" ht="12.75">
      <c r="B538" s="507"/>
      <c r="C538" s="507"/>
      <c r="D538" s="507"/>
      <c r="E538" s="507"/>
      <c r="F538" s="507"/>
    </row>
    <row r="539" spans="2:6" ht="12.75">
      <c r="B539" s="507"/>
      <c r="C539" s="507"/>
      <c r="D539" s="507"/>
      <c r="E539" s="507"/>
      <c r="F539" s="507"/>
    </row>
    <row r="540" spans="2:6" ht="12.75">
      <c r="B540" s="507"/>
      <c r="C540" s="507"/>
      <c r="D540" s="507"/>
      <c r="E540" s="507"/>
      <c r="F540" s="507"/>
    </row>
    <row r="541" spans="2:6" ht="12.75">
      <c r="B541" s="507"/>
      <c r="C541" s="507"/>
      <c r="D541" s="507"/>
      <c r="E541" s="507"/>
      <c r="F541" s="507"/>
    </row>
    <row r="542" spans="2:6" ht="12.75">
      <c r="B542" s="507"/>
      <c r="C542" s="507"/>
      <c r="D542" s="507"/>
      <c r="E542" s="507"/>
      <c r="F542" s="507"/>
    </row>
    <row r="543" spans="2:6" ht="12.75">
      <c r="B543" s="507"/>
      <c r="C543" s="507"/>
      <c r="D543" s="507"/>
      <c r="E543" s="507"/>
      <c r="F543" s="507"/>
    </row>
    <row r="544" spans="2:6" ht="12.75">
      <c r="B544" s="507"/>
      <c r="C544" s="507"/>
      <c r="D544" s="507"/>
      <c r="E544" s="507"/>
      <c r="F544" s="507"/>
    </row>
    <row r="545" spans="2:6" ht="12.75">
      <c r="B545" s="507"/>
      <c r="C545" s="507"/>
      <c r="D545" s="507"/>
      <c r="E545" s="507"/>
      <c r="F545" s="507"/>
    </row>
    <row r="546" spans="2:6" ht="12.75">
      <c r="B546" s="507"/>
      <c r="C546" s="507"/>
      <c r="D546" s="507"/>
      <c r="E546" s="507"/>
      <c r="F546" s="507"/>
    </row>
    <row r="547" spans="2:6" ht="12.75">
      <c r="B547" s="507"/>
      <c r="C547" s="507"/>
      <c r="D547" s="507"/>
      <c r="E547" s="507"/>
      <c r="F547" s="507"/>
    </row>
    <row r="548" spans="2:6" ht="12.75">
      <c r="B548" s="507"/>
      <c r="C548" s="507"/>
      <c r="D548" s="507"/>
      <c r="E548" s="507"/>
      <c r="F548" s="507"/>
    </row>
    <row r="549" spans="2:6" ht="12.75">
      <c r="B549" s="507"/>
      <c r="C549" s="507"/>
      <c r="D549" s="507"/>
      <c r="E549" s="507"/>
      <c r="F549" s="507"/>
    </row>
    <row r="550" spans="2:6" ht="12.75">
      <c r="B550" s="507"/>
      <c r="C550" s="507"/>
      <c r="D550" s="507"/>
      <c r="E550" s="507"/>
      <c r="F550" s="507"/>
    </row>
    <row r="551" spans="2:6" ht="12.75">
      <c r="B551" s="507"/>
      <c r="C551" s="507"/>
      <c r="D551" s="507"/>
      <c r="E551" s="507"/>
      <c r="F551" s="507"/>
    </row>
    <row r="552" spans="2:6" ht="12.75">
      <c r="B552" s="507"/>
      <c r="C552" s="507"/>
      <c r="D552" s="507"/>
      <c r="E552" s="507"/>
      <c r="F552" s="507"/>
    </row>
    <row r="553" spans="2:6" ht="12.75">
      <c r="B553" s="507"/>
      <c r="C553" s="507"/>
      <c r="D553" s="507"/>
      <c r="E553" s="507"/>
      <c r="F553" s="507"/>
    </row>
    <row r="554" spans="2:6" ht="12.75">
      <c r="B554" s="507"/>
      <c r="C554" s="507"/>
      <c r="D554" s="507"/>
      <c r="E554" s="507"/>
      <c r="F554" s="507"/>
    </row>
    <row r="555" spans="2:6" ht="12.75">
      <c r="B555" s="507"/>
      <c r="C555" s="507"/>
      <c r="D555" s="507"/>
      <c r="E555" s="507"/>
      <c r="F555" s="507"/>
    </row>
    <row r="556" spans="2:6" ht="12.75">
      <c r="B556" s="507"/>
      <c r="C556" s="507"/>
      <c r="D556" s="507"/>
      <c r="E556" s="507"/>
      <c r="F556" s="507"/>
    </row>
    <row r="557" spans="2:6" ht="12.75">
      <c r="B557" s="507"/>
      <c r="C557" s="507"/>
      <c r="D557" s="507"/>
      <c r="E557" s="507"/>
      <c r="F557" s="507"/>
    </row>
    <row r="558" spans="2:6" ht="12.75">
      <c r="B558" s="507"/>
      <c r="C558" s="507"/>
      <c r="D558" s="507"/>
      <c r="E558" s="507"/>
      <c r="F558" s="507"/>
    </row>
    <row r="559" spans="2:6" ht="12.75">
      <c r="B559" s="507"/>
      <c r="C559" s="507"/>
      <c r="D559" s="507"/>
      <c r="E559" s="507"/>
      <c r="F559" s="507"/>
    </row>
    <row r="560" spans="2:6" ht="12.75">
      <c r="B560" s="507"/>
      <c r="C560" s="507"/>
      <c r="D560" s="507"/>
      <c r="E560" s="507"/>
      <c r="F560" s="507"/>
    </row>
    <row r="561" spans="2:6" ht="12.75">
      <c r="B561" s="507"/>
      <c r="C561" s="507"/>
      <c r="D561" s="507"/>
      <c r="E561" s="507"/>
      <c r="F561" s="507"/>
    </row>
    <row r="562" spans="2:6" ht="12.75">
      <c r="B562" s="507"/>
      <c r="C562" s="507"/>
      <c r="D562" s="507"/>
      <c r="E562" s="507"/>
      <c r="F562" s="507"/>
    </row>
    <row r="563" spans="2:6" ht="12.75">
      <c r="B563" s="507"/>
      <c r="C563" s="507"/>
      <c r="D563" s="507"/>
      <c r="E563" s="507"/>
      <c r="F563" s="507"/>
    </row>
    <row r="564" spans="2:6" ht="12.75">
      <c r="B564" s="507"/>
      <c r="C564" s="507"/>
      <c r="D564" s="507"/>
      <c r="E564" s="507"/>
      <c r="F564" s="507"/>
    </row>
    <row r="565" spans="2:6" ht="12.75">
      <c r="B565" s="507"/>
      <c r="C565" s="507"/>
      <c r="D565" s="507"/>
      <c r="E565" s="507"/>
      <c r="F565" s="507"/>
    </row>
    <row r="566" spans="2:6" ht="12.75">
      <c r="B566" s="507"/>
      <c r="C566" s="507"/>
      <c r="D566" s="507"/>
      <c r="E566" s="507"/>
      <c r="F566" s="507"/>
    </row>
    <row r="567" spans="2:6" ht="12.75">
      <c r="B567" s="507"/>
      <c r="C567" s="507"/>
      <c r="D567" s="507"/>
      <c r="E567" s="507"/>
      <c r="F567" s="507"/>
    </row>
    <row r="568" spans="2:6" ht="12.75">
      <c r="B568" s="507"/>
      <c r="C568" s="507"/>
      <c r="D568" s="507"/>
      <c r="E568" s="507"/>
      <c r="F568" s="507"/>
    </row>
    <row r="569" spans="2:6" ht="12.75">
      <c r="B569" s="507"/>
      <c r="C569" s="507"/>
      <c r="D569" s="507"/>
      <c r="E569" s="507"/>
      <c r="F569" s="507"/>
    </row>
    <row r="570" spans="2:6" ht="12.75">
      <c r="B570" s="507"/>
      <c r="C570" s="507"/>
      <c r="D570" s="507"/>
      <c r="E570" s="507"/>
      <c r="F570" s="507"/>
    </row>
    <row r="571" spans="2:6" ht="12.75">
      <c r="B571" s="507"/>
      <c r="C571" s="507"/>
      <c r="D571" s="507"/>
      <c r="E571" s="507"/>
      <c r="F571" s="507"/>
    </row>
    <row r="572" spans="2:6" ht="12.75">
      <c r="B572" s="507"/>
      <c r="C572" s="507"/>
      <c r="D572" s="507"/>
      <c r="E572" s="507"/>
      <c r="F572" s="507"/>
    </row>
    <row r="573" spans="2:6" ht="12.75">
      <c r="B573" s="507"/>
      <c r="C573" s="507"/>
      <c r="D573" s="507"/>
      <c r="E573" s="507"/>
      <c r="F573" s="507"/>
    </row>
    <row r="574" spans="2:6" ht="12.75">
      <c r="B574" s="507"/>
      <c r="C574" s="507"/>
      <c r="D574" s="507"/>
      <c r="E574" s="507"/>
      <c r="F574" s="507"/>
    </row>
    <row r="575" spans="2:6" ht="12.75">
      <c r="B575" s="507"/>
      <c r="C575" s="507"/>
      <c r="D575" s="507"/>
      <c r="E575" s="507"/>
      <c r="F575" s="507"/>
    </row>
    <row r="576" spans="2:6" ht="12.75">
      <c r="B576" s="507"/>
      <c r="C576" s="507"/>
      <c r="D576" s="507"/>
      <c r="E576" s="507"/>
      <c r="F576" s="507"/>
    </row>
    <row r="577" spans="2:6" ht="12.75">
      <c r="B577" s="507"/>
      <c r="C577" s="507"/>
      <c r="D577" s="507"/>
      <c r="E577" s="507"/>
      <c r="F577" s="507"/>
    </row>
    <row r="578" spans="2:6" ht="12.75">
      <c r="B578" s="507"/>
      <c r="C578" s="507"/>
      <c r="D578" s="507"/>
      <c r="E578" s="507"/>
      <c r="F578" s="507"/>
    </row>
    <row r="579" spans="2:6" ht="12.75">
      <c r="B579" s="507"/>
      <c r="C579" s="507"/>
      <c r="D579" s="507"/>
      <c r="E579" s="507"/>
      <c r="F579" s="507"/>
    </row>
    <row r="580" spans="2:6" ht="12.75">
      <c r="B580" s="507"/>
      <c r="C580" s="507"/>
      <c r="D580" s="507"/>
      <c r="E580" s="507"/>
      <c r="F580" s="507"/>
    </row>
    <row r="581" spans="2:6" ht="12.75">
      <c r="B581" s="507"/>
      <c r="C581" s="507"/>
      <c r="D581" s="507"/>
      <c r="E581" s="507"/>
      <c r="F581" s="507"/>
    </row>
    <row r="582" spans="2:6" ht="12.75">
      <c r="B582" s="507"/>
      <c r="C582" s="507"/>
      <c r="D582" s="507"/>
      <c r="E582" s="507"/>
      <c r="F582" s="507"/>
    </row>
    <row r="583" spans="2:6" ht="12.75">
      <c r="B583" s="507"/>
      <c r="C583" s="507"/>
      <c r="D583" s="507"/>
      <c r="E583" s="507"/>
      <c r="F583" s="507"/>
    </row>
    <row r="584" spans="2:6" ht="12.75">
      <c r="B584" s="507"/>
      <c r="C584" s="507"/>
      <c r="D584" s="507"/>
      <c r="E584" s="507"/>
      <c r="F584" s="507"/>
    </row>
    <row r="585" spans="2:6" ht="12.75">
      <c r="B585" s="507"/>
      <c r="C585" s="507"/>
      <c r="D585" s="507"/>
      <c r="E585" s="507"/>
      <c r="F585" s="507"/>
    </row>
    <row r="586" spans="2:6" ht="12.75">
      <c r="B586" s="507"/>
      <c r="C586" s="507"/>
      <c r="D586" s="507"/>
      <c r="E586" s="507"/>
      <c r="F586" s="507"/>
    </row>
    <row r="587" spans="2:6" ht="12.75">
      <c r="B587" s="507"/>
      <c r="C587" s="507"/>
      <c r="D587" s="507"/>
      <c r="E587" s="507"/>
      <c r="F587" s="507"/>
    </row>
    <row r="588" spans="2:6" ht="12.75">
      <c r="B588" s="507"/>
      <c r="C588" s="507"/>
      <c r="D588" s="507"/>
      <c r="E588" s="507"/>
      <c r="F588" s="507"/>
    </row>
    <row r="589" spans="2:6" ht="12.75">
      <c r="B589" s="507"/>
      <c r="C589" s="507"/>
      <c r="D589" s="507"/>
      <c r="E589" s="507"/>
      <c r="F589" s="507"/>
    </row>
    <row r="590" spans="2:6" ht="12.75">
      <c r="B590" s="507"/>
      <c r="C590" s="507"/>
      <c r="D590" s="507"/>
      <c r="E590" s="507"/>
      <c r="F590" s="507"/>
    </row>
    <row r="591" spans="2:6" ht="12.75">
      <c r="B591" s="507"/>
      <c r="C591" s="507"/>
      <c r="D591" s="507"/>
      <c r="E591" s="507"/>
      <c r="F591" s="507"/>
    </row>
    <row r="592" spans="2:6" ht="12.75">
      <c r="B592" s="507"/>
      <c r="C592" s="507"/>
      <c r="D592" s="507"/>
      <c r="E592" s="507"/>
      <c r="F592" s="507"/>
    </row>
    <row r="593" spans="2:6" ht="12.75">
      <c r="B593" s="507"/>
      <c r="C593" s="507"/>
      <c r="D593" s="507"/>
      <c r="E593" s="507"/>
      <c r="F593" s="507"/>
    </row>
    <row r="594" spans="2:6" ht="12.75">
      <c r="B594" s="507"/>
      <c r="C594" s="507"/>
      <c r="D594" s="507"/>
      <c r="E594" s="507"/>
      <c r="F594" s="507"/>
    </row>
    <row r="595" spans="2:6" ht="12.75">
      <c r="B595" s="507"/>
      <c r="C595" s="507"/>
      <c r="D595" s="507"/>
      <c r="E595" s="507"/>
      <c r="F595" s="507"/>
    </row>
    <row r="596" spans="2:6" ht="12.75">
      <c r="B596" s="507"/>
      <c r="C596" s="507"/>
      <c r="D596" s="507"/>
      <c r="E596" s="507"/>
      <c r="F596" s="507"/>
    </row>
    <row r="597" spans="2:6" ht="12.75">
      <c r="B597" s="507"/>
      <c r="C597" s="507"/>
      <c r="D597" s="507"/>
      <c r="E597" s="507"/>
      <c r="F597" s="507"/>
    </row>
  </sheetData>
  <sheetProtection/>
  <printOptions horizontalCentered="1"/>
  <pageMargins left="0" right="0" top="0.3937007874015748" bottom="0" header="0" footer="0"/>
  <pageSetup fitToHeight="1" fitToWidth="1" orientation="portrait" paperSize="9" scale="4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8515625" style="359" customWidth="1"/>
    <col min="2" max="3" width="10.57421875" style="359" customWidth="1"/>
    <col min="4" max="4" width="9.8515625" style="359" customWidth="1"/>
    <col min="5" max="5" width="9.28125" style="359" customWidth="1"/>
    <col min="6" max="6" width="67.421875" style="359" customWidth="1"/>
    <col min="7" max="7" width="22.7109375" style="359" customWidth="1"/>
    <col min="8" max="8" width="22.00390625" style="359" customWidth="1"/>
    <col min="9" max="9" width="22.7109375" style="359" customWidth="1"/>
    <col min="10" max="10" width="14.00390625" style="359" customWidth="1"/>
    <col min="11" max="12" width="9.140625" style="359" customWidth="1"/>
    <col min="13" max="13" width="11.421875" style="359" bestFit="1" customWidth="1"/>
    <col min="14" max="16384" width="9.140625" style="359" customWidth="1"/>
  </cols>
  <sheetData>
    <row r="1" spans="7:10" ht="15">
      <c r="G1" s="360"/>
      <c r="H1" s="360"/>
      <c r="J1" s="360"/>
    </row>
    <row r="3" spans="1:10" ht="22.5">
      <c r="A3" s="362" t="s">
        <v>457</v>
      </c>
      <c r="B3" s="363"/>
      <c r="C3" s="363"/>
      <c r="D3" s="363"/>
      <c r="E3" s="363"/>
      <c r="F3" s="363"/>
      <c r="G3" s="363"/>
      <c r="H3" s="363"/>
      <c r="I3" s="365"/>
      <c r="J3" s="365"/>
    </row>
    <row r="4" spans="1:9" ht="24.75" customHeight="1">
      <c r="A4" s="362" t="s">
        <v>278</v>
      </c>
      <c r="B4" s="362"/>
      <c r="C4" s="362"/>
      <c r="D4" s="362"/>
      <c r="E4" s="366"/>
      <c r="F4" s="366"/>
      <c r="G4" s="365"/>
      <c r="H4" s="365"/>
      <c r="I4" s="365"/>
    </row>
    <row r="5" spans="2:10" ht="15" thickBot="1">
      <c r="B5" s="368"/>
      <c r="C5" s="368"/>
      <c r="G5" s="369"/>
      <c r="H5" s="369"/>
      <c r="I5" s="360"/>
      <c r="J5" s="371" t="s">
        <v>243</v>
      </c>
    </row>
    <row r="6" spans="1:10" ht="24" customHeight="1">
      <c r="A6" s="372" t="s">
        <v>279</v>
      </c>
      <c r="B6" s="373" t="s">
        <v>280</v>
      </c>
      <c r="C6" s="374"/>
      <c r="D6" s="374"/>
      <c r="E6" s="375"/>
      <c r="F6" s="376" t="s">
        <v>281</v>
      </c>
      <c r="G6" s="376" t="s">
        <v>282</v>
      </c>
      <c r="H6" s="376" t="s">
        <v>283</v>
      </c>
      <c r="I6" s="376" t="s">
        <v>284</v>
      </c>
      <c r="J6" s="376" t="s">
        <v>285</v>
      </c>
    </row>
    <row r="7" spans="1:10" ht="17.25" customHeight="1">
      <c r="A7" s="378" t="s">
        <v>286</v>
      </c>
      <c r="B7" s="379" t="s">
        <v>287</v>
      </c>
      <c r="C7" s="380" t="s">
        <v>288</v>
      </c>
      <c r="D7" s="381" t="s">
        <v>289</v>
      </c>
      <c r="E7" s="382" t="s">
        <v>290</v>
      </c>
      <c r="F7" s="383"/>
      <c r="G7" s="384" t="s">
        <v>291</v>
      </c>
      <c r="H7" s="384" t="s">
        <v>292</v>
      </c>
      <c r="I7" s="384" t="s">
        <v>293</v>
      </c>
      <c r="J7" s="384" t="s">
        <v>294</v>
      </c>
    </row>
    <row r="8" spans="1:10" ht="13.5">
      <c r="A8" s="386" t="s">
        <v>295</v>
      </c>
      <c r="B8" s="387" t="s">
        <v>296</v>
      </c>
      <c r="C8" s="380"/>
      <c r="D8" s="380"/>
      <c r="E8" s="388" t="s">
        <v>297</v>
      </c>
      <c r="F8" s="389"/>
      <c r="G8" s="384" t="s">
        <v>298</v>
      </c>
      <c r="H8" s="384" t="s">
        <v>298</v>
      </c>
      <c r="I8" s="390"/>
      <c r="J8" s="391" t="s">
        <v>299</v>
      </c>
    </row>
    <row r="9" spans="1:10" ht="14.25" thickBot="1">
      <c r="A9" s="386" t="s">
        <v>300</v>
      </c>
      <c r="B9" s="392"/>
      <c r="C9" s="393"/>
      <c r="D9" s="393"/>
      <c r="E9" s="394"/>
      <c r="F9" s="395"/>
      <c r="G9" s="390"/>
      <c r="H9" s="509"/>
      <c r="I9" s="397"/>
      <c r="J9" s="398"/>
    </row>
    <row r="10" spans="1:10" ht="14.25" thickBot="1">
      <c r="A10" s="399" t="s">
        <v>0</v>
      </c>
      <c r="B10" s="400" t="s">
        <v>301</v>
      </c>
      <c r="C10" s="401" t="s">
        <v>302</v>
      </c>
      <c r="D10" s="401" t="s">
        <v>303</v>
      </c>
      <c r="E10" s="402" t="s">
        <v>304</v>
      </c>
      <c r="F10" s="402" t="s">
        <v>305</v>
      </c>
      <c r="G10" s="402">
        <v>1</v>
      </c>
      <c r="H10" s="402">
        <v>2</v>
      </c>
      <c r="I10" s="402">
        <v>3</v>
      </c>
      <c r="J10" s="402">
        <v>4</v>
      </c>
    </row>
    <row r="11" spans="1:10" ht="30.75" customHeight="1">
      <c r="A11" s="404" t="s">
        <v>306</v>
      </c>
      <c r="B11" s="405" t="s">
        <v>458</v>
      </c>
      <c r="C11" s="406"/>
      <c r="D11" s="407"/>
      <c r="E11" s="408"/>
      <c r="F11" s="409" t="s">
        <v>459</v>
      </c>
      <c r="G11" s="510">
        <f>SUM(G12)</f>
        <v>5393000</v>
      </c>
      <c r="H11" s="510">
        <f>SUM(H12)</f>
        <v>7980201</v>
      </c>
      <c r="I11" s="510">
        <f>SUM(I12)</f>
        <v>7969141</v>
      </c>
      <c r="J11" s="511">
        <f>SUM($I11/H11)*100</f>
        <v>99.86140699964825</v>
      </c>
    </row>
    <row r="12" spans="1:10" ht="18.75" customHeight="1">
      <c r="A12" s="413" t="s">
        <v>306</v>
      </c>
      <c r="B12" s="512"/>
      <c r="C12" s="438" t="s">
        <v>460</v>
      </c>
      <c r="D12" s="513"/>
      <c r="E12" s="514"/>
      <c r="F12" s="515" t="s">
        <v>461</v>
      </c>
      <c r="G12" s="497">
        <f>SUM(G13+G17+G19+G25+G27+G28)</f>
        <v>5393000</v>
      </c>
      <c r="H12" s="497">
        <f>SUM(H13+H17+H19+H25+H27+H28)</f>
        <v>7980201</v>
      </c>
      <c r="I12" s="497">
        <f>SUM(I13+I17+I19+I25+I27+I28)</f>
        <v>7969141</v>
      </c>
      <c r="J12" s="420">
        <f>SUM($I12/H12)*100</f>
        <v>99.86140699964825</v>
      </c>
    </row>
    <row r="13" spans="1:10" ht="18.75" customHeight="1">
      <c r="A13" s="421" t="s">
        <v>306</v>
      </c>
      <c r="B13" s="516"/>
      <c r="C13" s="517"/>
      <c r="D13" s="443" t="s">
        <v>462</v>
      </c>
      <c r="E13" s="444"/>
      <c r="F13" s="518" t="s">
        <v>463</v>
      </c>
      <c r="G13" s="458">
        <f>SUM(G14:G16)</f>
        <v>1160000</v>
      </c>
      <c r="H13" s="458">
        <f>SUM(H14:H16)</f>
        <v>1441674</v>
      </c>
      <c r="I13" s="458">
        <f>SUM(I14:I16)</f>
        <v>1441674</v>
      </c>
      <c r="J13" s="427">
        <f>SUM($I13/H13)*100</f>
        <v>100</v>
      </c>
    </row>
    <row r="14" spans="1:10" ht="18.75" customHeight="1">
      <c r="A14" s="421"/>
      <c r="B14" s="516"/>
      <c r="C14" s="517"/>
      <c r="D14" s="443"/>
      <c r="E14" s="519" t="s">
        <v>464</v>
      </c>
      <c r="F14" s="520" t="s">
        <v>465</v>
      </c>
      <c r="G14" s="464">
        <v>0</v>
      </c>
      <c r="H14" s="464">
        <v>0</v>
      </c>
      <c r="I14" s="464">
        <v>0</v>
      </c>
      <c r="J14" s="436">
        <v>0</v>
      </c>
    </row>
    <row r="15" spans="1:10" ht="18.75" customHeight="1">
      <c r="A15" s="428" t="s">
        <v>306</v>
      </c>
      <c r="B15" s="521"/>
      <c r="C15" s="522"/>
      <c r="D15" s="431"/>
      <c r="E15" s="523" t="s">
        <v>466</v>
      </c>
      <c r="F15" s="446" t="s">
        <v>467</v>
      </c>
      <c r="G15" s="464">
        <v>1160000</v>
      </c>
      <c r="H15" s="464">
        <v>1441674</v>
      </c>
      <c r="I15" s="464">
        <v>1441674</v>
      </c>
      <c r="J15" s="436">
        <f>SUM($I15/H15)*100</f>
        <v>100</v>
      </c>
    </row>
    <row r="16" spans="1:10" ht="18.75" customHeight="1">
      <c r="A16" s="428" t="s">
        <v>306</v>
      </c>
      <c r="B16" s="521"/>
      <c r="C16" s="522"/>
      <c r="D16" s="431"/>
      <c r="E16" s="523" t="s">
        <v>468</v>
      </c>
      <c r="F16" s="446" t="s">
        <v>469</v>
      </c>
      <c r="G16" s="464">
        <v>0</v>
      </c>
      <c r="H16" s="464">
        <v>0</v>
      </c>
      <c r="I16" s="464">
        <v>0</v>
      </c>
      <c r="J16" s="436">
        <v>0</v>
      </c>
    </row>
    <row r="17" spans="1:10" ht="18.75" customHeight="1">
      <c r="A17" s="421" t="s">
        <v>306</v>
      </c>
      <c r="B17" s="516"/>
      <c r="C17" s="517"/>
      <c r="D17" s="443" t="s">
        <v>470</v>
      </c>
      <c r="E17" s="444"/>
      <c r="F17" s="450" t="s">
        <v>471</v>
      </c>
      <c r="G17" s="458">
        <f>SUM(G18)</f>
        <v>0</v>
      </c>
      <c r="H17" s="458">
        <f>SUM(H18)</f>
        <v>0</v>
      </c>
      <c r="I17" s="458">
        <f>SUM(I18)</f>
        <v>0</v>
      </c>
      <c r="J17" s="427">
        <v>0</v>
      </c>
    </row>
    <row r="18" spans="1:10" ht="18.75" customHeight="1">
      <c r="A18" s="428" t="s">
        <v>306</v>
      </c>
      <c r="B18" s="521"/>
      <c r="C18" s="522"/>
      <c r="D18" s="431"/>
      <c r="E18" s="523" t="s">
        <v>472</v>
      </c>
      <c r="F18" s="446" t="s">
        <v>395</v>
      </c>
      <c r="G18" s="464">
        <v>0</v>
      </c>
      <c r="H18" s="464">
        <v>0</v>
      </c>
      <c r="I18" s="464">
        <v>0</v>
      </c>
      <c r="J18" s="436">
        <v>0</v>
      </c>
    </row>
    <row r="19" spans="1:10" ht="18.75" customHeight="1">
      <c r="A19" s="421" t="s">
        <v>306</v>
      </c>
      <c r="B19" s="516"/>
      <c r="C19" s="517"/>
      <c r="D19" s="443" t="s">
        <v>473</v>
      </c>
      <c r="E19" s="444"/>
      <c r="F19" s="445" t="s">
        <v>474</v>
      </c>
      <c r="G19" s="458">
        <f>SUM(G20:G24)</f>
        <v>3183000</v>
      </c>
      <c r="H19" s="458">
        <f>SUM(H20:H24)</f>
        <v>5868004</v>
      </c>
      <c r="I19" s="458">
        <f>SUM(I20:I24)</f>
        <v>5867481</v>
      </c>
      <c r="J19" s="427">
        <f>SUM($I19/H19)*100</f>
        <v>99.99108725897256</v>
      </c>
    </row>
    <row r="20" spans="1:10" ht="18.75" customHeight="1">
      <c r="A20" s="428" t="s">
        <v>306</v>
      </c>
      <c r="B20" s="437"/>
      <c r="C20" s="524"/>
      <c r="D20" s="431"/>
      <c r="E20" s="523" t="s">
        <v>475</v>
      </c>
      <c r="F20" s="525" t="s">
        <v>476</v>
      </c>
      <c r="G20" s="464">
        <v>119000</v>
      </c>
      <c r="H20" s="464">
        <v>0</v>
      </c>
      <c r="I20" s="464">
        <v>0</v>
      </c>
      <c r="J20" s="436">
        <v>0</v>
      </c>
    </row>
    <row r="21" spans="1:10" ht="18.75" customHeight="1">
      <c r="A21" s="428" t="s">
        <v>306</v>
      </c>
      <c r="B21" s="437"/>
      <c r="C21" s="524"/>
      <c r="D21" s="431"/>
      <c r="E21" s="523" t="s">
        <v>477</v>
      </c>
      <c r="F21" s="525" t="s">
        <v>392</v>
      </c>
      <c r="G21" s="464">
        <v>2123000</v>
      </c>
      <c r="H21" s="464">
        <v>5206881</v>
      </c>
      <c r="I21" s="464">
        <v>5206881</v>
      </c>
      <c r="J21" s="436">
        <f aca="true" t="shared" si="0" ref="J21:J26">SUM($I21/H21)*100</f>
        <v>100</v>
      </c>
    </row>
    <row r="22" spans="1:10" ht="18.75" customHeight="1">
      <c r="A22" s="428" t="s">
        <v>306</v>
      </c>
      <c r="B22" s="437"/>
      <c r="C22" s="524"/>
      <c r="D22" s="431"/>
      <c r="E22" s="523" t="s">
        <v>478</v>
      </c>
      <c r="F22" s="525" t="s">
        <v>393</v>
      </c>
      <c r="G22" s="464">
        <v>600000</v>
      </c>
      <c r="H22" s="464">
        <v>594000</v>
      </c>
      <c r="I22" s="464">
        <v>594000</v>
      </c>
      <c r="J22" s="436">
        <f t="shared" si="0"/>
        <v>100</v>
      </c>
    </row>
    <row r="23" spans="1:10" ht="18.75" customHeight="1">
      <c r="A23" s="428" t="s">
        <v>306</v>
      </c>
      <c r="B23" s="437"/>
      <c r="C23" s="524"/>
      <c r="D23" s="431"/>
      <c r="E23" s="523" t="s">
        <v>479</v>
      </c>
      <c r="F23" s="526" t="s">
        <v>394</v>
      </c>
      <c r="G23" s="464">
        <v>43000</v>
      </c>
      <c r="H23" s="464">
        <v>15095</v>
      </c>
      <c r="I23" s="464">
        <v>14573</v>
      </c>
      <c r="J23" s="436">
        <f t="shared" si="0"/>
        <v>96.54190129181849</v>
      </c>
    </row>
    <row r="24" spans="1:10" ht="18.75" customHeight="1">
      <c r="A24" s="428" t="s">
        <v>306</v>
      </c>
      <c r="B24" s="437"/>
      <c r="C24" s="524"/>
      <c r="D24" s="431"/>
      <c r="E24" s="523" t="s">
        <v>480</v>
      </c>
      <c r="F24" s="526" t="s">
        <v>481</v>
      </c>
      <c r="G24" s="464">
        <v>298000</v>
      </c>
      <c r="H24" s="464">
        <v>52028</v>
      </c>
      <c r="I24" s="464">
        <v>52027</v>
      </c>
      <c r="J24" s="436">
        <f t="shared" si="0"/>
        <v>99.9980779580226</v>
      </c>
    </row>
    <row r="25" spans="1:10" ht="18.75" customHeight="1">
      <c r="A25" s="421" t="s">
        <v>306</v>
      </c>
      <c r="B25" s="516"/>
      <c r="C25" s="517"/>
      <c r="D25" s="443" t="s">
        <v>482</v>
      </c>
      <c r="E25" s="444"/>
      <c r="F25" s="450" t="s">
        <v>483</v>
      </c>
      <c r="G25" s="458">
        <f>SUM(G26)</f>
        <v>188000</v>
      </c>
      <c r="H25" s="458">
        <f>SUM(H26)</f>
        <v>292000</v>
      </c>
      <c r="I25" s="458">
        <f>SUM(I26)</f>
        <v>291791</v>
      </c>
      <c r="J25" s="427">
        <f t="shared" si="0"/>
        <v>99.92842465753424</v>
      </c>
    </row>
    <row r="26" spans="1:10" ht="18.75" customHeight="1">
      <c r="A26" s="428" t="s">
        <v>306</v>
      </c>
      <c r="B26" s="455"/>
      <c r="C26" s="527"/>
      <c r="D26" s="528"/>
      <c r="E26" s="529" t="s">
        <v>484</v>
      </c>
      <c r="F26" s="530" t="s">
        <v>485</v>
      </c>
      <c r="G26" s="464">
        <v>188000</v>
      </c>
      <c r="H26" s="464">
        <v>292000</v>
      </c>
      <c r="I26" s="464">
        <v>291791</v>
      </c>
      <c r="J26" s="436">
        <f t="shared" si="0"/>
        <v>99.92842465753424</v>
      </c>
    </row>
    <row r="27" spans="1:10" ht="18.75" customHeight="1">
      <c r="A27" s="421" t="s">
        <v>306</v>
      </c>
      <c r="B27" s="516"/>
      <c r="C27" s="517"/>
      <c r="D27" s="443" t="s">
        <v>486</v>
      </c>
      <c r="E27" s="449"/>
      <c r="F27" s="531" t="s">
        <v>487</v>
      </c>
      <c r="G27" s="458">
        <v>78670</v>
      </c>
      <c r="H27" s="458">
        <v>36194</v>
      </c>
      <c r="I27" s="458">
        <v>33938</v>
      </c>
      <c r="J27" s="427">
        <f>SUM(I27/H27)*100</f>
        <v>93.76692269436924</v>
      </c>
    </row>
    <row r="28" spans="1:10" ht="18.75" customHeight="1">
      <c r="A28" s="421" t="s">
        <v>306</v>
      </c>
      <c r="B28" s="516"/>
      <c r="C28" s="517"/>
      <c r="D28" s="443" t="s">
        <v>488</v>
      </c>
      <c r="E28" s="449"/>
      <c r="F28" s="532" t="s">
        <v>489</v>
      </c>
      <c r="G28" s="458">
        <f>SUM(G29:G31)</f>
        <v>783330</v>
      </c>
      <c r="H28" s="458">
        <f>SUM(H29:H31)</f>
        <v>342329</v>
      </c>
      <c r="I28" s="458">
        <f>SUM(I29:I31)</f>
        <v>334257</v>
      </c>
      <c r="J28" s="427">
        <f>SUM($I28/H28)*100</f>
        <v>97.64203441718347</v>
      </c>
    </row>
    <row r="29" spans="1:10" ht="18.75" customHeight="1">
      <c r="A29" s="428" t="s">
        <v>306</v>
      </c>
      <c r="B29" s="455"/>
      <c r="C29" s="527"/>
      <c r="D29" s="528"/>
      <c r="E29" s="529" t="s">
        <v>490</v>
      </c>
      <c r="F29" s="530" t="s">
        <v>491</v>
      </c>
      <c r="G29" s="464">
        <v>0</v>
      </c>
      <c r="H29" s="464">
        <v>0</v>
      </c>
      <c r="I29" s="464">
        <v>0</v>
      </c>
      <c r="J29" s="436">
        <v>0</v>
      </c>
    </row>
    <row r="30" spans="1:10" ht="18.75" customHeight="1">
      <c r="A30" s="428" t="s">
        <v>306</v>
      </c>
      <c r="B30" s="455"/>
      <c r="C30" s="527"/>
      <c r="D30" s="528"/>
      <c r="E30" s="529" t="s">
        <v>492</v>
      </c>
      <c r="F30" s="530" t="s">
        <v>493</v>
      </c>
      <c r="G30" s="464">
        <v>435930</v>
      </c>
      <c r="H30" s="464">
        <v>244156</v>
      </c>
      <c r="I30" s="464">
        <v>240444</v>
      </c>
      <c r="J30" s="436">
        <f>SUM($I30/H30)*100</f>
        <v>98.47966054489753</v>
      </c>
    </row>
    <row r="31" spans="1:10" ht="18.75" customHeight="1">
      <c r="A31" s="428" t="s">
        <v>306</v>
      </c>
      <c r="B31" s="455"/>
      <c r="C31" s="527"/>
      <c r="D31" s="528"/>
      <c r="E31" s="529" t="s">
        <v>494</v>
      </c>
      <c r="F31" s="530" t="s">
        <v>495</v>
      </c>
      <c r="G31" s="464">
        <v>347400</v>
      </c>
      <c r="H31" s="464">
        <v>98173</v>
      </c>
      <c r="I31" s="464">
        <v>93813</v>
      </c>
      <c r="J31" s="436">
        <f>SUM($I31/H31)*100</f>
        <v>95.55886037912664</v>
      </c>
    </row>
    <row r="32" spans="1:10" ht="14.25" thickBot="1">
      <c r="A32" s="499"/>
      <c r="B32" s="500"/>
      <c r="C32" s="501"/>
      <c r="D32" s="501"/>
      <c r="E32" s="502"/>
      <c r="F32" s="503"/>
      <c r="G32" s="504"/>
      <c r="H32" s="504"/>
      <c r="I32" s="504"/>
      <c r="J32" s="506"/>
    </row>
    <row r="33" spans="2:6" ht="12.75">
      <c r="B33" s="507"/>
      <c r="C33" s="507"/>
      <c r="D33" s="507"/>
      <c r="E33" s="507"/>
      <c r="F33" s="507"/>
    </row>
    <row r="34" spans="2:6" ht="12.75">
      <c r="B34" s="507"/>
      <c r="C34" s="507"/>
      <c r="D34" s="507"/>
      <c r="E34" s="507"/>
      <c r="F34" s="507"/>
    </row>
    <row r="35" spans="2:6" ht="12.75">
      <c r="B35" s="507"/>
      <c r="C35" s="507"/>
      <c r="D35" s="507"/>
      <c r="E35" s="507"/>
      <c r="F35" s="507"/>
    </row>
    <row r="36" spans="2:6" ht="12.75">
      <c r="B36" s="507"/>
      <c r="C36" s="507"/>
      <c r="D36" s="507"/>
      <c r="E36" s="507"/>
      <c r="F36" s="507"/>
    </row>
    <row r="37" spans="2:6" ht="12.75">
      <c r="B37" s="507"/>
      <c r="C37" s="507"/>
      <c r="D37" s="507"/>
      <c r="E37" s="507"/>
      <c r="F37" s="507"/>
    </row>
    <row r="38" spans="2:8" ht="12.75">
      <c r="B38" s="507"/>
      <c r="C38" s="507"/>
      <c r="D38" s="507"/>
      <c r="E38" s="507"/>
      <c r="F38" s="507"/>
      <c r="H38" s="508"/>
    </row>
    <row r="39" spans="2:6" ht="12.75">
      <c r="B39" s="507"/>
      <c r="C39" s="507"/>
      <c r="D39" s="507"/>
      <c r="E39" s="507"/>
      <c r="F39" s="507"/>
    </row>
    <row r="40" spans="2:6" ht="12.75">
      <c r="B40" s="507"/>
      <c r="C40" s="507"/>
      <c r="D40" s="507"/>
      <c r="E40" s="507"/>
      <c r="F40" s="507"/>
    </row>
    <row r="41" spans="2:6" ht="12.75">
      <c r="B41" s="507"/>
      <c r="C41" s="507"/>
      <c r="D41" s="507"/>
      <c r="E41" s="507"/>
      <c r="F41" s="507"/>
    </row>
    <row r="42" spans="2:6" ht="12.75">
      <c r="B42" s="507"/>
      <c r="C42" s="507"/>
      <c r="D42" s="507"/>
      <c r="E42" s="507"/>
      <c r="F42" s="507"/>
    </row>
    <row r="43" spans="2:6" ht="12.75">
      <c r="B43" s="507"/>
      <c r="C43" s="507"/>
      <c r="D43" s="507"/>
      <c r="E43" s="507"/>
      <c r="F43" s="507"/>
    </row>
    <row r="44" spans="2:6" ht="12.75">
      <c r="B44" s="507"/>
      <c r="C44" s="507"/>
      <c r="D44" s="507"/>
      <c r="E44" s="507"/>
      <c r="F44" s="507"/>
    </row>
    <row r="45" spans="2:6" ht="12.75">
      <c r="B45" s="507"/>
      <c r="C45" s="507"/>
      <c r="D45" s="507"/>
      <c r="E45" s="507"/>
      <c r="F45" s="507"/>
    </row>
    <row r="46" spans="2:6" ht="12.75">
      <c r="B46" s="507"/>
      <c r="C46" s="507"/>
      <c r="D46" s="507"/>
      <c r="E46" s="507"/>
      <c r="F46" s="507"/>
    </row>
    <row r="47" spans="2:6" ht="12.75">
      <c r="B47" s="507"/>
      <c r="C47" s="507"/>
      <c r="D47" s="507"/>
      <c r="E47" s="507"/>
      <c r="F47" s="507"/>
    </row>
    <row r="48" spans="2:6" ht="12.75">
      <c r="B48" s="507"/>
      <c r="C48" s="507"/>
      <c r="D48" s="507"/>
      <c r="E48" s="507"/>
      <c r="F48" s="507"/>
    </row>
    <row r="49" spans="2:6" ht="12.75">
      <c r="B49" s="507"/>
      <c r="C49" s="507"/>
      <c r="D49" s="507"/>
      <c r="E49" s="507"/>
      <c r="F49" s="507"/>
    </row>
    <row r="50" spans="2:6" ht="12.75">
      <c r="B50" s="507"/>
      <c r="C50" s="507"/>
      <c r="D50" s="507"/>
      <c r="E50" s="507"/>
      <c r="F50" s="507"/>
    </row>
    <row r="51" spans="2:6" ht="12.75">
      <c r="B51" s="507"/>
      <c r="C51" s="507"/>
      <c r="D51" s="507"/>
      <c r="E51" s="507"/>
      <c r="F51" s="507"/>
    </row>
    <row r="52" spans="2:6" ht="12.75">
      <c r="B52" s="507"/>
      <c r="C52" s="507"/>
      <c r="D52" s="507"/>
      <c r="E52" s="507"/>
      <c r="F52" s="507"/>
    </row>
    <row r="53" spans="2:6" ht="12.75">
      <c r="B53" s="507"/>
      <c r="C53" s="507"/>
      <c r="D53" s="507"/>
      <c r="E53" s="507"/>
      <c r="F53" s="507"/>
    </row>
    <row r="54" spans="2:6" ht="12.75">
      <c r="B54" s="507"/>
      <c r="C54" s="507"/>
      <c r="D54" s="507"/>
      <c r="E54" s="507"/>
      <c r="F54" s="507"/>
    </row>
    <row r="55" spans="2:6" ht="12.75">
      <c r="B55" s="507"/>
      <c r="C55" s="507"/>
      <c r="D55" s="507"/>
      <c r="E55" s="507"/>
      <c r="F55" s="507"/>
    </row>
    <row r="56" spans="2:6" ht="12.75">
      <c r="B56" s="507"/>
      <c r="C56" s="507"/>
      <c r="D56" s="507"/>
      <c r="E56" s="507"/>
      <c r="F56" s="507"/>
    </row>
    <row r="57" spans="2:6" ht="12.75">
      <c r="B57" s="507"/>
      <c r="C57" s="507"/>
      <c r="D57" s="507"/>
      <c r="E57" s="507"/>
      <c r="F57" s="507"/>
    </row>
    <row r="58" spans="2:6" ht="12.75">
      <c r="B58" s="507"/>
      <c r="C58" s="507"/>
      <c r="D58" s="507"/>
      <c r="E58" s="507"/>
      <c r="F58" s="507"/>
    </row>
    <row r="59" spans="2:6" ht="12.75">
      <c r="B59" s="507"/>
      <c r="C59" s="507"/>
      <c r="D59" s="507"/>
      <c r="E59" s="507"/>
      <c r="F59" s="507"/>
    </row>
    <row r="60" spans="2:6" ht="12.75">
      <c r="B60" s="507"/>
      <c r="C60" s="507"/>
      <c r="D60" s="507"/>
      <c r="E60" s="507"/>
      <c r="F60" s="507"/>
    </row>
    <row r="61" spans="2:6" ht="12.75">
      <c r="B61" s="507"/>
      <c r="C61" s="507"/>
      <c r="D61" s="507"/>
      <c r="E61" s="507"/>
      <c r="F61" s="507"/>
    </row>
    <row r="62" spans="2:6" ht="12.75">
      <c r="B62" s="507"/>
      <c r="C62" s="507"/>
      <c r="D62" s="507"/>
      <c r="E62" s="507"/>
      <c r="F62" s="507"/>
    </row>
    <row r="63" spans="2:6" ht="12.75">
      <c r="B63" s="507"/>
      <c r="C63" s="507"/>
      <c r="D63" s="507"/>
      <c r="E63" s="507"/>
      <c r="F63" s="507"/>
    </row>
    <row r="64" spans="2:6" ht="12.75">
      <c r="B64" s="507"/>
      <c r="C64" s="507"/>
      <c r="D64" s="507"/>
      <c r="E64" s="507"/>
      <c r="F64" s="507"/>
    </row>
    <row r="65" spans="2:6" ht="12.75">
      <c r="B65" s="507"/>
      <c r="C65" s="507"/>
      <c r="D65" s="507"/>
      <c r="E65" s="507"/>
      <c r="F65" s="507"/>
    </row>
    <row r="66" spans="2:6" ht="12.75">
      <c r="B66" s="507"/>
      <c r="C66" s="507"/>
      <c r="D66" s="507"/>
      <c r="E66" s="507"/>
      <c r="F66" s="507"/>
    </row>
    <row r="67" spans="2:6" ht="12.75">
      <c r="B67" s="507"/>
      <c r="C67" s="507"/>
      <c r="D67" s="507"/>
      <c r="E67" s="507"/>
      <c r="F67" s="507"/>
    </row>
    <row r="68" spans="2:6" ht="12.75">
      <c r="B68" s="507"/>
      <c r="C68" s="507"/>
      <c r="D68" s="507"/>
      <c r="E68" s="507"/>
      <c r="F68" s="507"/>
    </row>
    <row r="69" spans="2:6" ht="12.75">
      <c r="B69" s="507"/>
      <c r="C69" s="507"/>
      <c r="D69" s="507"/>
      <c r="E69" s="507"/>
      <c r="F69" s="507"/>
    </row>
    <row r="70" spans="2:6" ht="12.75">
      <c r="B70" s="507"/>
      <c r="C70" s="507"/>
      <c r="D70" s="507"/>
      <c r="E70" s="507"/>
      <c r="F70" s="507"/>
    </row>
    <row r="71" spans="2:6" ht="12.75">
      <c r="B71" s="507"/>
      <c r="C71" s="507"/>
      <c r="D71" s="507"/>
      <c r="E71" s="507"/>
      <c r="F71" s="507"/>
    </row>
    <row r="72" spans="2:6" ht="12.75">
      <c r="B72" s="507"/>
      <c r="C72" s="507"/>
      <c r="D72" s="507"/>
      <c r="E72" s="507"/>
      <c r="F72" s="507"/>
    </row>
    <row r="73" spans="2:6" ht="12.75">
      <c r="B73" s="507"/>
      <c r="C73" s="507"/>
      <c r="D73" s="507"/>
      <c r="E73" s="507"/>
      <c r="F73" s="507"/>
    </row>
    <row r="74" spans="2:6" ht="12.75">
      <c r="B74" s="507"/>
      <c r="C74" s="507"/>
      <c r="D74" s="507"/>
      <c r="E74" s="507"/>
      <c r="F74" s="507"/>
    </row>
    <row r="75" spans="2:6" ht="12.75">
      <c r="B75" s="507"/>
      <c r="C75" s="507"/>
      <c r="D75" s="507"/>
      <c r="E75" s="507"/>
      <c r="F75" s="507"/>
    </row>
    <row r="76" spans="2:6" ht="12.75">
      <c r="B76" s="507"/>
      <c r="C76" s="507"/>
      <c r="D76" s="507"/>
      <c r="E76" s="507"/>
      <c r="F76" s="507"/>
    </row>
    <row r="77" spans="2:6" ht="12.75">
      <c r="B77" s="507"/>
      <c r="C77" s="507"/>
      <c r="D77" s="507"/>
      <c r="E77" s="507"/>
      <c r="F77" s="507"/>
    </row>
    <row r="78" spans="2:6" ht="12.75">
      <c r="B78" s="507"/>
      <c r="C78" s="507"/>
      <c r="D78" s="507"/>
      <c r="E78" s="507"/>
      <c r="F78" s="507"/>
    </row>
    <row r="79" spans="2:6" ht="12.75">
      <c r="B79" s="507"/>
      <c r="C79" s="507"/>
      <c r="D79" s="507"/>
      <c r="E79" s="507"/>
      <c r="F79" s="507"/>
    </row>
    <row r="80" spans="2:6" ht="12.75">
      <c r="B80" s="507"/>
      <c r="C80" s="507"/>
      <c r="D80" s="507"/>
      <c r="E80" s="507"/>
      <c r="F80" s="507"/>
    </row>
    <row r="81" spans="2:6" ht="12.75">
      <c r="B81" s="507"/>
      <c r="C81" s="507"/>
      <c r="D81" s="507"/>
      <c r="E81" s="507"/>
      <c r="F81" s="507"/>
    </row>
    <row r="82" spans="2:6" ht="12.75">
      <c r="B82" s="507"/>
      <c r="C82" s="507"/>
      <c r="D82" s="507"/>
      <c r="E82" s="507"/>
      <c r="F82" s="507"/>
    </row>
    <row r="83" spans="2:6" ht="12.75">
      <c r="B83" s="507"/>
      <c r="C83" s="507"/>
      <c r="D83" s="507"/>
      <c r="E83" s="507"/>
      <c r="F83" s="507"/>
    </row>
    <row r="84" spans="2:6" ht="12.75">
      <c r="B84" s="507"/>
      <c r="C84" s="507"/>
      <c r="D84" s="507"/>
      <c r="E84" s="507"/>
      <c r="F84" s="507"/>
    </row>
    <row r="85" spans="2:6" ht="12.75">
      <c r="B85" s="507"/>
      <c r="C85" s="507"/>
      <c r="D85" s="507"/>
      <c r="E85" s="507"/>
      <c r="F85" s="507"/>
    </row>
    <row r="86" spans="2:6" ht="12.75">
      <c r="B86" s="507"/>
      <c r="C86" s="507"/>
      <c r="D86" s="507"/>
      <c r="E86" s="507"/>
      <c r="F86" s="507"/>
    </row>
    <row r="87" spans="2:6" ht="12.75">
      <c r="B87" s="507"/>
      <c r="C87" s="507"/>
      <c r="D87" s="507"/>
      <c r="E87" s="507"/>
      <c r="F87" s="507"/>
    </row>
    <row r="88" spans="2:6" ht="12.75">
      <c r="B88" s="507"/>
      <c r="C88" s="507"/>
      <c r="D88" s="507"/>
      <c r="E88" s="507"/>
      <c r="F88" s="507"/>
    </row>
    <row r="89" spans="2:6" ht="12.75">
      <c r="B89" s="507"/>
      <c r="C89" s="507"/>
      <c r="D89" s="507"/>
      <c r="E89" s="507"/>
      <c r="F89" s="507"/>
    </row>
    <row r="90" spans="2:6" ht="12.75">
      <c r="B90" s="507"/>
      <c r="C90" s="507"/>
      <c r="D90" s="507"/>
      <c r="E90" s="507"/>
      <c r="F90" s="507"/>
    </row>
    <row r="91" spans="2:6" ht="12.75">
      <c r="B91" s="507"/>
      <c r="C91" s="507"/>
      <c r="D91" s="507"/>
      <c r="E91" s="507"/>
      <c r="F91" s="507"/>
    </row>
    <row r="92" spans="2:6" ht="12.75">
      <c r="B92" s="507"/>
      <c r="C92" s="507"/>
      <c r="D92" s="507"/>
      <c r="E92" s="507"/>
      <c r="F92" s="507"/>
    </row>
    <row r="93" spans="2:6" ht="12.75">
      <c r="B93" s="507"/>
      <c r="C93" s="507"/>
      <c r="D93" s="507"/>
      <c r="E93" s="507"/>
      <c r="F93" s="507"/>
    </row>
    <row r="94" spans="2:6" ht="12.75">
      <c r="B94" s="507"/>
      <c r="C94" s="507"/>
      <c r="D94" s="507"/>
      <c r="E94" s="507"/>
      <c r="F94" s="507"/>
    </row>
    <row r="95" spans="2:6" ht="12.75">
      <c r="B95" s="507"/>
      <c r="C95" s="507"/>
      <c r="D95" s="507"/>
      <c r="E95" s="507"/>
      <c r="F95" s="507"/>
    </row>
    <row r="96" spans="2:6" ht="12.75">
      <c r="B96" s="507"/>
      <c r="C96" s="507"/>
      <c r="D96" s="507"/>
      <c r="E96" s="507"/>
      <c r="F96" s="507"/>
    </row>
    <row r="97" spans="2:6" ht="12.75">
      <c r="B97" s="507"/>
      <c r="C97" s="507"/>
      <c r="D97" s="507"/>
      <c r="E97" s="507"/>
      <c r="F97" s="507"/>
    </row>
    <row r="98" spans="2:6" ht="12.75">
      <c r="B98" s="507"/>
      <c r="C98" s="507"/>
      <c r="D98" s="507"/>
      <c r="E98" s="507"/>
      <c r="F98" s="507"/>
    </row>
    <row r="99" spans="2:6" ht="12.75">
      <c r="B99" s="507"/>
      <c r="C99" s="507"/>
      <c r="D99" s="507"/>
      <c r="E99" s="507"/>
      <c r="F99" s="507"/>
    </row>
    <row r="100" spans="2:6" ht="12.75">
      <c r="B100" s="507"/>
      <c r="C100" s="507"/>
      <c r="D100" s="507"/>
      <c r="E100" s="507"/>
      <c r="F100" s="507"/>
    </row>
    <row r="101" spans="2:6" ht="12.75">
      <c r="B101" s="507"/>
      <c r="C101" s="507"/>
      <c r="D101" s="507"/>
      <c r="E101" s="507"/>
      <c r="F101" s="507"/>
    </row>
    <row r="102" spans="2:6" ht="12.75">
      <c r="B102" s="507"/>
      <c r="C102" s="507"/>
      <c r="D102" s="507"/>
      <c r="E102" s="507"/>
      <c r="F102" s="507"/>
    </row>
    <row r="103" spans="2:6" ht="12.75">
      <c r="B103" s="507"/>
      <c r="C103" s="507"/>
      <c r="D103" s="507"/>
      <c r="E103" s="507"/>
      <c r="F103" s="507"/>
    </row>
    <row r="104" spans="2:6" ht="12.75">
      <c r="B104" s="507"/>
      <c r="C104" s="507"/>
      <c r="D104" s="507"/>
      <c r="E104" s="507"/>
      <c r="F104" s="507"/>
    </row>
    <row r="105" spans="2:6" ht="12.75">
      <c r="B105" s="507"/>
      <c r="C105" s="507"/>
      <c r="D105" s="507"/>
      <c r="E105" s="507"/>
      <c r="F105" s="507"/>
    </row>
    <row r="106" spans="2:6" ht="12.75">
      <c r="B106" s="507"/>
      <c r="C106" s="507"/>
      <c r="D106" s="507"/>
      <c r="E106" s="507"/>
      <c r="F106" s="507"/>
    </row>
    <row r="107" spans="2:6" ht="12.75">
      <c r="B107" s="507"/>
      <c r="C107" s="507"/>
      <c r="D107" s="507"/>
      <c r="E107" s="507"/>
      <c r="F107" s="507"/>
    </row>
    <row r="108" spans="2:6" ht="12.75">
      <c r="B108" s="507"/>
      <c r="C108" s="507"/>
      <c r="D108" s="507"/>
      <c r="E108" s="507"/>
      <c r="F108" s="507"/>
    </row>
    <row r="109" spans="2:6" ht="12.75">
      <c r="B109" s="507"/>
      <c r="C109" s="507"/>
      <c r="D109" s="507"/>
      <c r="E109" s="507"/>
      <c r="F109" s="507"/>
    </row>
    <row r="110" spans="2:6" ht="12.75">
      <c r="B110" s="507"/>
      <c r="C110" s="507"/>
      <c r="D110" s="507"/>
      <c r="E110" s="507"/>
      <c r="F110" s="507"/>
    </row>
    <row r="111" spans="2:6" ht="12.75">
      <c r="B111" s="507"/>
      <c r="C111" s="507"/>
      <c r="D111" s="507"/>
      <c r="E111" s="507"/>
      <c r="F111" s="507"/>
    </row>
    <row r="112" spans="2:6" ht="12.75">
      <c r="B112" s="507"/>
      <c r="C112" s="507"/>
      <c r="D112" s="507"/>
      <c r="E112" s="507"/>
      <c r="F112" s="507"/>
    </row>
    <row r="113" spans="2:6" ht="12.75">
      <c r="B113" s="507"/>
      <c r="C113" s="507"/>
      <c r="D113" s="507"/>
      <c r="E113" s="507"/>
      <c r="F113" s="507"/>
    </row>
    <row r="114" spans="2:6" ht="12.75">
      <c r="B114" s="507"/>
      <c r="C114" s="507"/>
      <c r="D114" s="507"/>
      <c r="E114" s="507"/>
      <c r="F114" s="507"/>
    </row>
    <row r="115" spans="2:6" ht="12.75">
      <c r="B115" s="507"/>
      <c r="C115" s="507"/>
      <c r="D115" s="507"/>
      <c r="E115" s="507"/>
      <c r="F115" s="507"/>
    </row>
    <row r="116" spans="2:6" ht="12.75">
      <c r="B116" s="507"/>
      <c r="C116" s="507"/>
      <c r="D116" s="507"/>
      <c r="E116" s="507"/>
      <c r="F116" s="507"/>
    </row>
    <row r="117" spans="2:6" ht="12.75">
      <c r="B117" s="507"/>
      <c r="C117" s="507"/>
      <c r="D117" s="507"/>
      <c r="E117" s="507"/>
      <c r="F117" s="507"/>
    </row>
    <row r="118" spans="2:6" ht="12.75">
      <c r="B118" s="507"/>
      <c r="C118" s="507"/>
      <c r="D118" s="507"/>
      <c r="E118" s="507"/>
      <c r="F118" s="507"/>
    </row>
    <row r="119" spans="2:6" ht="12.75">
      <c r="B119" s="507"/>
      <c r="C119" s="507"/>
      <c r="D119" s="507"/>
      <c r="E119" s="507"/>
      <c r="F119" s="507"/>
    </row>
    <row r="120" spans="2:6" ht="12.75">
      <c r="B120" s="507"/>
      <c r="C120" s="507"/>
      <c r="D120" s="507"/>
      <c r="E120" s="507"/>
      <c r="F120" s="507"/>
    </row>
    <row r="121" spans="2:6" ht="12.75">
      <c r="B121" s="507"/>
      <c r="C121" s="507"/>
      <c r="D121" s="507"/>
      <c r="E121" s="507"/>
      <c r="F121" s="507"/>
    </row>
    <row r="122" spans="2:6" ht="12.75">
      <c r="B122" s="507"/>
      <c r="C122" s="507"/>
      <c r="D122" s="507"/>
      <c r="E122" s="507"/>
      <c r="F122" s="507"/>
    </row>
    <row r="123" spans="2:6" ht="12.75">
      <c r="B123" s="507"/>
      <c r="C123" s="507"/>
      <c r="D123" s="507"/>
      <c r="E123" s="507"/>
      <c r="F123" s="507"/>
    </row>
    <row r="124" spans="2:6" ht="12.75">
      <c r="B124" s="507"/>
      <c r="C124" s="507"/>
      <c r="D124" s="507"/>
      <c r="E124" s="507"/>
      <c r="F124" s="507"/>
    </row>
    <row r="125" spans="2:6" ht="12.75">
      <c r="B125" s="507"/>
      <c r="C125" s="507"/>
      <c r="D125" s="507"/>
      <c r="E125" s="507"/>
      <c r="F125" s="507"/>
    </row>
    <row r="126" spans="2:6" ht="12.75">
      <c r="B126" s="507"/>
      <c r="C126" s="507"/>
      <c r="D126" s="507"/>
      <c r="E126" s="507"/>
      <c r="F126" s="507"/>
    </row>
    <row r="127" spans="2:6" ht="12.75">
      <c r="B127" s="507"/>
      <c r="C127" s="507"/>
      <c r="D127" s="507"/>
      <c r="E127" s="507"/>
      <c r="F127" s="507"/>
    </row>
    <row r="128" spans="2:6" ht="12.75">
      <c r="B128" s="507"/>
      <c r="C128" s="507"/>
      <c r="D128" s="507"/>
      <c r="E128" s="507"/>
      <c r="F128" s="507"/>
    </row>
    <row r="129" spans="2:6" ht="12.75">
      <c r="B129" s="507"/>
      <c r="C129" s="507"/>
      <c r="D129" s="507"/>
      <c r="E129" s="507"/>
      <c r="F129" s="507"/>
    </row>
    <row r="130" spans="2:6" ht="12.75">
      <c r="B130" s="507"/>
      <c r="C130" s="507"/>
      <c r="D130" s="507"/>
      <c r="E130" s="507"/>
      <c r="F130" s="507"/>
    </row>
    <row r="131" spans="2:6" ht="12.75">
      <c r="B131" s="507"/>
      <c r="C131" s="507"/>
      <c r="D131" s="507"/>
      <c r="E131" s="507"/>
      <c r="F131" s="507"/>
    </row>
    <row r="132" spans="2:6" ht="12.75">
      <c r="B132" s="507"/>
      <c r="C132" s="507"/>
      <c r="D132" s="507"/>
      <c r="E132" s="507"/>
      <c r="F132" s="507"/>
    </row>
    <row r="133" spans="2:6" ht="12.75">
      <c r="B133" s="507"/>
      <c r="C133" s="507"/>
      <c r="D133" s="507"/>
      <c r="E133" s="507"/>
      <c r="F133" s="507"/>
    </row>
    <row r="134" spans="2:6" ht="12.75">
      <c r="B134" s="507"/>
      <c r="C134" s="507"/>
      <c r="D134" s="507"/>
      <c r="E134" s="507"/>
      <c r="F134" s="507"/>
    </row>
    <row r="135" spans="2:6" ht="12.75">
      <c r="B135" s="507"/>
      <c r="C135" s="507"/>
      <c r="D135" s="507"/>
      <c r="E135" s="507"/>
      <c r="F135" s="507"/>
    </row>
    <row r="136" spans="2:6" ht="12.75">
      <c r="B136" s="507"/>
      <c r="C136" s="507"/>
      <c r="D136" s="507"/>
      <c r="E136" s="507"/>
      <c r="F136" s="507"/>
    </row>
    <row r="137" spans="2:6" ht="12.75">
      <c r="B137" s="507"/>
      <c r="C137" s="507"/>
      <c r="D137" s="507"/>
      <c r="E137" s="507"/>
      <c r="F137" s="507"/>
    </row>
    <row r="138" spans="2:6" ht="12.75">
      <c r="B138" s="507"/>
      <c r="C138" s="507"/>
      <c r="D138" s="507"/>
      <c r="E138" s="507"/>
      <c r="F138" s="507"/>
    </row>
    <row r="139" spans="2:6" ht="12.75">
      <c r="B139" s="507"/>
      <c r="C139" s="507"/>
      <c r="D139" s="507"/>
      <c r="E139" s="507"/>
      <c r="F139" s="507"/>
    </row>
    <row r="140" spans="2:6" ht="12.75">
      <c r="B140" s="507"/>
      <c r="C140" s="507"/>
      <c r="D140" s="507"/>
      <c r="E140" s="507"/>
      <c r="F140" s="507"/>
    </row>
    <row r="141" spans="2:6" ht="12.75">
      <c r="B141" s="507"/>
      <c r="C141" s="507"/>
      <c r="D141" s="507"/>
      <c r="E141" s="507"/>
      <c r="F141" s="507"/>
    </row>
    <row r="142" spans="2:6" ht="12.75">
      <c r="B142" s="507"/>
      <c r="C142" s="507"/>
      <c r="D142" s="507"/>
      <c r="E142" s="507"/>
      <c r="F142" s="507"/>
    </row>
    <row r="143" spans="2:6" ht="12.75">
      <c r="B143" s="507"/>
      <c r="C143" s="507"/>
      <c r="D143" s="507"/>
      <c r="E143" s="507"/>
      <c r="F143" s="507"/>
    </row>
    <row r="144" spans="2:6" ht="12.75">
      <c r="B144" s="507"/>
      <c r="C144" s="507"/>
      <c r="D144" s="507"/>
      <c r="E144" s="507"/>
      <c r="F144" s="507"/>
    </row>
    <row r="145" spans="2:6" ht="12.75">
      <c r="B145" s="507"/>
      <c r="C145" s="507"/>
      <c r="D145" s="507"/>
      <c r="E145" s="507"/>
      <c r="F145" s="507"/>
    </row>
    <row r="146" spans="2:6" ht="12.75">
      <c r="B146" s="507"/>
      <c r="C146" s="507"/>
      <c r="D146" s="507"/>
      <c r="E146" s="507"/>
      <c r="F146" s="507"/>
    </row>
    <row r="147" spans="2:6" ht="12.75">
      <c r="B147" s="507"/>
      <c r="C147" s="507"/>
      <c r="D147" s="507"/>
      <c r="E147" s="507"/>
      <c r="F147" s="507"/>
    </row>
    <row r="148" spans="2:6" ht="12.75">
      <c r="B148" s="507"/>
      <c r="C148" s="507"/>
      <c r="D148" s="507"/>
      <c r="E148" s="507"/>
      <c r="F148" s="507"/>
    </row>
    <row r="149" spans="2:6" ht="12.75">
      <c r="B149" s="507"/>
      <c r="C149" s="507"/>
      <c r="D149" s="507"/>
      <c r="E149" s="507"/>
      <c r="F149" s="507"/>
    </row>
    <row r="150" spans="2:6" ht="12.75">
      <c r="B150" s="507"/>
      <c r="C150" s="507"/>
      <c r="D150" s="507"/>
      <c r="E150" s="507"/>
      <c r="F150" s="507"/>
    </row>
    <row r="151" spans="2:6" ht="12.75">
      <c r="B151" s="507"/>
      <c r="C151" s="507"/>
      <c r="D151" s="507"/>
      <c r="E151" s="507"/>
      <c r="F151" s="507"/>
    </row>
    <row r="152" spans="2:6" ht="12.75">
      <c r="B152" s="507"/>
      <c r="C152" s="507"/>
      <c r="D152" s="507"/>
      <c r="E152" s="507"/>
      <c r="F152" s="507"/>
    </row>
    <row r="153" spans="2:6" ht="12.75">
      <c r="B153" s="507"/>
      <c r="C153" s="507"/>
      <c r="D153" s="507"/>
      <c r="E153" s="507"/>
      <c r="F153" s="507"/>
    </row>
    <row r="154" spans="2:6" ht="12.75">
      <c r="B154" s="507"/>
      <c r="C154" s="507"/>
      <c r="D154" s="507"/>
      <c r="E154" s="507"/>
      <c r="F154" s="507"/>
    </row>
    <row r="155" spans="2:6" ht="12.75">
      <c r="B155" s="507"/>
      <c r="C155" s="507"/>
      <c r="D155" s="507"/>
      <c r="E155" s="507"/>
      <c r="F155" s="507"/>
    </row>
    <row r="156" spans="2:6" ht="12.75">
      <c r="B156" s="507"/>
      <c r="C156" s="507"/>
      <c r="D156" s="507"/>
      <c r="E156" s="507"/>
      <c r="F156" s="507"/>
    </row>
    <row r="157" spans="2:6" ht="12.75">
      <c r="B157" s="507"/>
      <c r="C157" s="507"/>
      <c r="D157" s="507"/>
      <c r="E157" s="507"/>
      <c r="F157" s="507"/>
    </row>
    <row r="158" spans="2:6" ht="12.75">
      <c r="B158" s="507"/>
      <c r="C158" s="507"/>
      <c r="D158" s="507"/>
      <c r="E158" s="507"/>
      <c r="F158" s="507"/>
    </row>
    <row r="159" spans="2:6" ht="12.75">
      <c r="B159" s="507"/>
      <c r="C159" s="507"/>
      <c r="D159" s="507"/>
      <c r="E159" s="507"/>
      <c r="F159" s="507"/>
    </row>
    <row r="160" spans="2:6" ht="12.75">
      <c r="B160" s="507"/>
      <c r="C160" s="507"/>
      <c r="D160" s="507"/>
      <c r="E160" s="507"/>
      <c r="F160" s="507"/>
    </row>
    <row r="161" spans="2:6" ht="12.75">
      <c r="B161" s="507"/>
      <c r="C161" s="507"/>
      <c r="D161" s="507"/>
      <c r="E161" s="507"/>
      <c r="F161" s="507"/>
    </row>
    <row r="162" spans="2:6" ht="12.75">
      <c r="B162" s="507"/>
      <c r="C162" s="507"/>
      <c r="D162" s="507"/>
      <c r="E162" s="507"/>
      <c r="F162" s="507"/>
    </row>
    <row r="163" spans="2:6" ht="12.75">
      <c r="B163" s="507"/>
      <c r="C163" s="507"/>
      <c r="D163" s="507"/>
      <c r="E163" s="507"/>
      <c r="F163" s="507"/>
    </row>
    <row r="164" spans="2:6" ht="12.75">
      <c r="B164" s="507"/>
      <c r="C164" s="507"/>
      <c r="D164" s="507"/>
      <c r="E164" s="507"/>
      <c r="F164" s="507"/>
    </row>
    <row r="165" spans="2:6" ht="12.75">
      <c r="B165" s="507"/>
      <c r="C165" s="507"/>
      <c r="D165" s="507"/>
      <c r="E165" s="507"/>
      <c r="F165" s="507"/>
    </row>
    <row r="166" spans="2:6" ht="12.75">
      <c r="B166" s="507"/>
      <c r="C166" s="507"/>
      <c r="D166" s="507"/>
      <c r="E166" s="507"/>
      <c r="F166" s="507"/>
    </row>
    <row r="167" spans="2:6" ht="12.75">
      <c r="B167" s="507"/>
      <c r="C167" s="507"/>
      <c r="D167" s="507"/>
      <c r="E167" s="507"/>
      <c r="F167" s="507"/>
    </row>
    <row r="168" spans="2:6" ht="12.75">
      <c r="B168" s="507"/>
      <c r="C168" s="507"/>
      <c r="D168" s="507"/>
      <c r="E168" s="507"/>
      <c r="F168" s="507"/>
    </row>
    <row r="169" spans="2:6" ht="12.75">
      <c r="B169" s="507"/>
      <c r="C169" s="507"/>
      <c r="D169" s="507"/>
      <c r="E169" s="507"/>
      <c r="F169" s="507"/>
    </row>
    <row r="170" spans="2:6" ht="12.75">
      <c r="B170" s="507"/>
      <c r="C170" s="507"/>
      <c r="D170" s="507"/>
      <c r="E170" s="507"/>
      <c r="F170" s="507"/>
    </row>
    <row r="171" spans="2:6" ht="12.75">
      <c r="B171" s="507"/>
      <c r="C171" s="507"/>
      <c r="D171" s="507"/>
      <c r="E171" s="507"/>
      <c r="F171" s="507"/>
    </row>
    <row r="172" spans="2:6" ht="12.75">
      <c r="B172" s="507"/>
      <c r="C172" s="507"/>
      <c r="D172" s="507"/>
      <c r="E172" s="507"/>
      <c r="F172" s="507"/>
    </row>
    <row r="173" spans="2:6" ht="12.75">
      <c r="B173" s="507"/>
      <c r="C173" s="507"/>
      <c r="D173" s="507"/>
      <c r="E173" s="507"/>
      <c r="F173" s="507"/>
    </row>
    <row r="174" spans="2:6" ht="12.75">
      <c r="B174" s="507"/>
      <c r="C174" s="507"/>
      <c r="D174" s="507"/>
      <c r="E174" s="507"/>
      <c r="F174" s="507"/>
    </row>
    <row r="175" spans="2:6" ht="12.75">
      <c r="B175" s="507"/>
      <c r="C175" s="507"/>
      <c r="D175" s="507"/>
      <c r="E175" s="507"/>
      <c r="F175" s="507"/>
    </row>
    <row r="176" spans="2:6" ht="12.75">
      <c r="B176" s="507"/>
      <c r="C176" s="507"/>
      <c r="D176" s="507"/>
      <c r="E176" s="507"/>
      <c r="F176" s="507"/>
    </row>
    <row r="177" spans="2:6" ht="12.75">
      <c r="B177" s="507"/>
      <c r="C177" s="507"/>
      <c r="D177" s="507"/>
      <c r="E177" s="507"/>
      <c r="F177" s="507"/>
    </row>
    <row r="178" spans="2:6" ht="12.75">
      <c r="B178" s="507"/>
      <c r="C178" s="507"/>
      <c r="D178" s="507"/>
      <c r="E178" s="507"/>
      <c r="F178" s="507"/>
    </row>
    <row r="179" spans="2:6" ht="12.75">
      <c r="B179" s="507"/>
      <c r="C179" s="507"/>
      <c r="D179" s="507"/>
      <c r="E179" s="507"/>
      <c r="F179" s="507"/>
    </row>
    <row r="180" spans="2:6" ht="12.75">
      <c r="B180" s="507"/>
      <c r="C180" s="507"/>
      <c r="D180" s="507"/>
      <c r="E180" s="507"/>
      <c r="F180" s="507"/>
    </row>
    <row r="181" spans="2:6" ht="12.75">
      <c r="B181" s="507"/>
      <c r="C181" s="507"/>
      <c r="D181" s="507"/>
      <c r="E181" s="507"/>
      <c r="F181" s="507"/>
    </row>
    <row r="182" spans="2:6" ht="12.75">
      <c r="B182" s="507"/>
      <c r="C182" s="507"/>
      <c r="D182" s="507"/>
      <c r="E182" s="507"/>
      <c r="F182" s="507"/>
    </row>
    <row r="183" spans="2:6" ht="12.75">
      <c r="B183" s="507"/>
      <c r="C183" s="507"/>
      <c r="D183" s="507"/>
      <c r="E183" s="507"/>
      <c r="F183" s="507"/>
    </row>
    <row r="184" spans="2:6" ht="12.75">
      <c r="B184" s="507"/>
      <c r="C184" s="507"/>
      <c r="D184" s="507"/>
      <c r="E184" s="507"/>
      <c r="F184" s="507"/>
    </row>
    <row r="185" spans="2:6" ht="12.75">
      <c r="B185" s="507"/>
      <c r="C185" s="507"/>
      <c r="D185" s="507"/>
      <c r="E185" s="507"/>
      <c r="F185" s="507"/>
    </row>
    <row r="186" spans="2:6" ht="12.75">
      <c r="B186" s="507"/>
      <c r="C186" s="507"/>
      <c r="D186" s="507"/>
      <c r="E186" s="507"/>
      <c r="F186" s="507"/>
    </row>
    <row r="187" spans="2:6" ht="12.75">
      <c r="B187" s="507"/>
      <c r="C187" s="507"/>
      <c r="D187" s="507"/>
      <c r="E187" s="507"/>
      <c r="F187" s="507"/>
    </row>
    <row r="188" spans="2:6" ht="12.75">
      <c r="B188" s="507"/>
      <c r="C188" s="507"/>
      <c r="D188" s="507"/>
      <c r="E188" s="507"/>
      <c r="F188" s="507"/>
    </row>
    <row r="189" spans="2:6" ht="12.75">
      <c r="B189" s="507"/>
      <c r="C189" s="507"/>
      <c r="D189" s="507"/>
      <c r="E189" s="507"/>
      <c r="F189" s="507"/>
    </row>
    <row r="190" spans="2:6" ht="12.75">
      <c r="B190" s="507"/>
      <c r="C190" s="507"/>
      <c r="D190" s="507"/>
      <c r="E190" s="507"/>
      <c r="F190" s="507"/>
    </row>
    <row r="191" spans="2:6" ht="12.75">
      <c r="B191" s="507"/>
      <c r="C191" s="507"/>
      <c r="D191" s="507"/>
      <c r="E191" s="507"/>
      <c r="F191" s="507"/>
    </row>
    <row r="192" spans="2:6" ht="12.75">
      <c r="B192" s="507"/>
      <c r="C192" s="507"/>
      <c r="D192" s="507"/>
      <c r="E192" s="507"/>
      <c r="F192" s="507"/>
    </row>
    <row r="193" spans="2:6" ht="12.75">
      <c r="B193" s="507"/>
      <c r="C193" s="507"/>
      <c r="D193" s="507"/>
      <c r="E193" s="507"/>
      <c r="F193" s="507"/>
    </row>
    <row r="194" spans="2:6" ht="12.75">
      <c r="B194" s="507"/>
      <c r="C194" s="507"/>
      <c r="D194" s="507"/>
      <c r="E194" s="507"/>
      <c r="F194" s="507"/>
    </row>
    <row r="195" spans="2:6" ht="12.75">
      <c r="B195" s="507"/>
      <c r="C195" s="507"/>
      <c r="D195" s="507"/>
      <c r="E195" s="507"/>
      <c r="F195" s="507"/>
    </row>
    <row r="196" spans="2:6" ht="12.75">
      <c r="B196" s="507"/>
      <c r="C196" s="507"/>
      <c r="D196" s="507"/>
      <c r="E196" s="507"/>
      <c r="F196" s="507"/>
    </row>
    <row r="197" spans="2:6" ht="12.75">
      <c r="B197" s="507"/>
      <c r="C197" s="507"/>
      <c r="D197" s="507"/>
      <c r="E197" s="507"/>
      <c r="F197" s="507"/>
    </row>
    <row r="198" spans="2:6" ht="12.75">
      <c r="B198" s="507"/>
      <c r="C198" s="507"/>
      <c r="D198" s="507"/>
      <c r="E198" s="507"/>
      <c r="F198" s="507"/>
    </row>
    <row r="199" spans="2:6" ht="12.75">
      <c r="B199" s="507"/>
      <c r="C199" s="507"/>
      <c r="D199" s="507"/>
      <c r="E199" s="507"/>
      <c r="F199" s="507"/>
    </row>
    <row r="200" spans="2:6" ht="12.75">
      <c r="B200" s="507"/>
      <c r="C200" s="507"/>
      <c r="D200" s="507"/>
      <c r="E200" s="507"/>
      <c r="F200" s="507"/>
    </row>
    <row r="201" spans="2:6" ht="12.75">
      <c r="B201" s="507"/>
      <c r="C201" s="507"/>
      <c r="D201" s="507"/>
      <c r="E201" s="507"/>
      <c r="F201" s="507"/>
    </row>
    <row r="202" spans="2:6" ht="12.75">
      <c r="B202" s="507"/>
      <c r="C202" s="507"/>
      <c r="D202" s="507"/>
      <c r="E202" s="507"/>
      <c r="F202" s="507"/>
    </row>
    <row r="203" spans="2:6" ht="12.75">
      <c r="B203" s="507"/>
      <c r="C203" s="507"/>
      <c r="D203" s="507"/>
      <c r="E203" s="507"/>
      <c r="F203" s="507"/>
    </row>
    <row r="204" spans="2:6" ht="12.75">
      <c r="B204" s="507"/>
      <c r="C204" s="507"/>
      <c r="D204" s="507"/>
      <c r="E204" s="507"/>
      <c r="F204" s="507"/>
    </row>
    <row r="205" spans="2:6" ht="12.75">
      <c r="B205" s="507"/>
      <c r="C205" s="507"/>
      <c r="D205" s="507"/>
      <c r="E205" s="507"/>
      <c r="F205" s="507"/>
    </row>
    <row r="206" spans="2:6" ht="12.75">
      <c r="B206" s="507"/>
      <c r="C206" s="507"/>
      <c r="D206" s="507"/>
      <c r="E206" s="507"/>
      <c r="F206" s="507"/>
    </row>
    <row r="207" spans="2:6" ht="12.75">
      <c r="B207" s="507"/>
      <c r="C207" s="507"/>
      <c r="D207" s="507"/>
      <c r="E207" s="507"/>
      <c r="F207" s="507"/>
    </row>
    <row r="208" spans="2:6" ht="12.75">
      <c r="B208" s="507"/>
      <c r="C208" s="507"/>
      <c r="D208" s="507"/>
      <c r="E208" s="507"/>
      <c r="F208" s="507"/>
    </row>
    <row r="209" spans="2:6" ht="12.75">
      <c r="B209" s="507"/>
      <c r="C209" s="507"/>
      <c r="D209" s="507"/>
      <c r="E209" s="507"/>
      <c r="F209" s="507"/>
    </row>
    <row r="210" spans="2:6" ht="12.75">
      <c r="B210" s="507"/>
      <c r="C210" s="507"/>
      <c r="D210" s="507"/>
      <c r="E210" s="507"/>
      <c r="F210" s="507"/>
    </row>
    <row r="211" spans="2:6" ht="12.75">
      <c r="B211" s="507"/>
      <c r="C211" s="507"/>
      <c r="D211" s="507"/>
      <c r="E211" s="507"/>
      <c r="F211" s="507"/>
    </row>
    <row r="212" spans="2:6" ht="12.75">
      <c r="B212" s="507"/>
      <c r="C212" s="507"/>
      <c r="D212" s="507"/>
      <c r="E212" s="507"/>
      <c r="F212" s="507"/>
    </row>
    <row r="213" spans="2:6" ht="12.75">
      <c r="B213" s="507"/>
      <c r="C213" s="507"/>
      <c r="D213" s="507"/>
      <c r="E213" s="507"/>
      <c r="F213" s="507"/>
    </row>
    <row r="214" spans="2:6" ht="12.75">
      <c r="B214" s="507"/>
      <c r="C214" s="507"/>
      <c r="D214" s="507"/>
      <c r="E214" s="507"/>
      <c r="F214" s="507"/>
    </row>
    <row r="215" spans="2:6" ht="12.75">
      <c r="B215" s="507"/>
      <c r="C215" s="507"/>
      <c r="D215" s="507"/>
      <c r="E215" s="507"/>
      <c r="F215" s="507"/>
    </row>
    <row r="216" spans="2:6" ht="12.75">
      <c r="B216" s="507"/>
      <c r="C216" s="507"/>
      <c r="D216" s="507"/>
      <c r="E216" s="507"/>
      <c r="F216" s="507"/>
    </row>
    <row r="217" spans="2:6" ht="12.75">
      <c r="B217" s="507"/>
      <c r="C217" s="507"/>
      <c r="D217" s="507"/>
      <c r="E217" s="507"/>
      <c r="F217" s="507"/>
    </row>
    <row r="218" spans="2:6" ht="12.75">
      <c r="B218" s="507"/>
      <c r="C218" s="507"/>
      <c r="D218" s="507"/>
      <c r="E218" s="507"/>
      <c r="F218" s="507"/>
    </row>
    <row r="219" spans="2:6" ht="12.75">
      <c r="B219" s="507"/>
      <c r="C219" s="507"/>
      <c r="D219" s="507"/>
      <c r="E219" s="507"/>
      <c r="F219" s="507"/>
    </row>
    <row r="220" spans="2:6" ht="12.75">
      <c r="B220" s="507"/>
      <c r="C220" s="507"/>
      <c r="D220" s="507"/>
      <c r="E220" s="507"/>
      <c r="F220" s="507"/>
    </row>
    <row r="221" spans="2:6" ht="12.75">
      <c r="B221" s="507"/>
      <c r="C221" s="507"/>
      <c r="D221" s="507"/>
      <c r="E221" s="507"/>
      <c r="F221" s="507"/>
    </row>
    <row r="222" spans="2:6" ht="12.75">
      <c r="B222" s="507"/>
      <c r="C222" s="507"/>
      <c r="D222" s="507"/>
      <c r="E222" s="507"/>
      <c r="F222" s="507"/>
    </row>
    <row r="223" spans="2:6" ht="12.75">
      <c r="B223" s="507"/>
      <c r="C223" s="507"/>
      <c r="D223" s="507"/>
      <c r="E223" s="507"/>
      <c r="F223" s="507"/>
    </row>
    <row r="224" spans="2:6" ht="12.75">
      <c r="B224" s="507"/>
      <c r="C224" s="507"/>
      <c r="D224" s="507"/>
      <c r="E224" s="507"/>
      <c r="F224" s="507"/>
    </row>
    <row r="225" spans="2:6" ht="12.75">
      <c r="B225" s="507"/>
      <c r="C225" s="507"/>
      <c r="D225" s="507"/>
      <c r="E225" s="507"/>
      <c r="F225" s="507"/>
    </row>
    <row r="226" spans="2:6" ht="12.75">
      <c r="B226" s="507"/>
      <c r="C226" s="507"/>
      <c r="D226" s="507"/>
      <c r="E226" s="507"/>
      <c r="F226" s="507"/>
    </row>
    <row r="227" spans="2:6" ht="12.75">
      <c r="B227" s="507"/>
      <c r="C227" s="507"/>
      <c r="D227" s="507"/>
      <c r="E227" s="507"/>
      <c r="F227" s="507"/>
    </row>
    <row r="228" spans="2:6" ht="12.75">
      <c r="B228" s="507"/>
      <c r="C228" s="507"/>
      <c r="D228" s="507"/>
      <c r="E228" s="507"/>
      <c r="F228" s="507"/>
    </row>
    <row r="229" spans="2:6" ht="12.75">
      <c r="B229" s="507"/>
      <c r="C229" s="507"/>
      <c r="D229" s="507"/>
      <c r="E229" s="507"/>
      <c r="F229" s="507"/>
    </row>
    <row r="230" spans="2:6" ht="12.75">
      <c r="B230" s="507"/>
      <c r="C230" s="507"/>
      <c r="D230" s="507"/>
      <c r="E230" s="507"/>
      <c r="F230" s="507"/>
    </row>
    <row r="231" spans="2:6" ht="12.75">
      <c r="B231" s="507"/>
      <c r="C231" s="507"/>
      <c r="D231" s="507"/>
      <c r="E231" s="507"/>
      <c r="F231" s="507"/>
    </row>
    <row r="232" spans="2:6" ht="12.75">
      <c r="B232" s="507"/>
      <c r="C232" s="507"/>
      <c r="D232" s="507"/>
      <c r="E232" s="507"/>
      <c r="F232" s="507"/>
    </row>
    <row r="233" spans="2:6" ht="12.75">
      <c r="B233" s="507"/>
      <c r="C233" s="507"/>
      <c r="D233" s="507"/>
      <c r="E233" s="507"/>
      <c r="F233" s="507"/>
    </row>
    <row r="234" spans="2:6" ht="12.75">
      <c r="B234" s="507"/>
      <c r="C234" s="507"/>
      <c r="D234" s="507"/>
      <c r="E234" s="507"/>
      <c r="F234" s="507"/>
    </row>
    <row r="235" spans="2:6" ht="12.75">
      <c r="B235" s="507"/>
      <c r="C235" s="507"/>
      <c r="D235" s="507"/>
      <c r="E235" s="507"/>
      <c r="F235" s="507"/>
    </row>
    <row r="236" spans="2:6" ht="12.75">
      <c r="B236" s="507"/>
      <c r="C236" s="507"/>
      <c r="D236" s="507"/>
      <c r="E236" s="507"/>
      <c r="F236" s="507"/>
    </row>
    <row r="237" spans="2:6" ht="12.75">
      <c r="B237" s="507"/>
      <c r="C237" s="507"/>
      <c r="D237" s="507"/>
      <c r="E237" s="507"/>
      <c r="F237" s="507"/>
    </row>
    <row r="238" spans="2:6" ht="12.75">
      <c r="B238" s="507"/>
      <c r="C238" s="507"/>
      <c r="D238" s="507"/>
      <c r="E238" s="507"/>
      <c r="F238" s="507"/>
    </row>
    <row r="239" spans="2:6" ht="12.75">
      <c r="B239" s="507"/>
      <c r="C239" s="507"/>
      <c r="D239" s="507"/>
      <c r="E239" s="507"/>
      <c r="F239" s="507"/>
    </row>
    <row r="240" spans="2:6" ht="12.75">
      <c r="B240" s="507"/>
      <c r="C240" s="507"/>
      <c r="D240" s="507"/>
      <c r="E240" s="507"/>
      <c r="F240" s="507"/>
    </row>
    <row r="241" spans="2:6" ht="12.75">
      <c r="B241" s="507"/>
      <c r="C241" s="507"/>
      <c r="D241" s="507"/>
      <c r="E241" s="507"/>
      <c r="F241" s="507"/>
    </row>
    <row r="242" spans="2:6" ht="12.75">
      <c r="B242" s="507"/>
      <c r="C242" s="507"/>
      <c r="D242" s="507"/>
      <c r="E242" s="507"/>
      <c r="F242" s="507"/>
    </row>
    <row r="243" spans="2:6" ht="12.75">
      <c r="B243" s="507"/>
      <c r="C243" s="507"/>
      <c r="D243" s="507"/>
      <c r="E243" s="507"/>
      <c r="F243" s="507"/>
    </row>
    <row r="244" spans="2:6" ht="12.75">
      <c r="B244" s="507"/>
      <c r="C244" s="507"/>
      <c r="D244" s="507"/>
      <c r="E244" s="507"/>
      <c r="F244" s="507"/>
    </row>
    <row r="245" spans="2:6" ht="12.75">
      <c r="B245" s="507"/>
      <c r="C245" s="507"/>
      <c r="D245" s="507"/>
      <c r="E245" s="507"/>
      <c r="F245" s="507"/>
    </row>
    <row r="246" spans="2:6" ht="12.75">
      <c r="B246" s="507"/>
      <c r="C246" s="507"/>
      <c r="D246" s="507"/>
      <c r="E246" s="507"/>
      <c r="F246" s="507"/>
    </row>
    <row r="247" spans="2:6" ht="12.75">
      <c r="B247" s="507"/>
      <c r="C247" s="507"/>
      <c r="D247" s="507"/>
      <c r="E247" s="507"/>
      <c r="F247" s="507"/>
    </row>
    <row r="248" spans="2:6" ht="12.75">
      <c r="B248" s="507"/>
      <c r="C248" s="507"/>
      <c r="D248" s="507"/>
      <c r="E248" s="507"/>
      <c r="F248" s="507"/>
    </row>
    <row r="249" spans="2:6" ht="12.75">
      <c r="B249" s="507"/>
      <c r="C249" s="507"/>
      <c r="D249" s="507"/>
      <c r="E249" s="507"/>
      <c r="F249" s="507"/>
    </row>
    <row r="250" spans="2:6" ht="12.75">
      <c r="B250" s="507"/>
      <c r="C250" s="507"/>
      <c r="D250" s="507"/>
      <c r="E250" s="507"/>
      <c r="F250" s="507"/>
    </row>
    <row r="251" spans="2:6" ht="12.75">
      <c r="B251" s="507"/>
      <c r="C251" s="507"/>
      <c r="D251" s="507"/>
      <c r="E251" s="507"/>
      <c r="F251" s="507"/>
    </row>
    <row r="252" spans="2:6" ht="12.75">
      <c r="B252" s="507"/>
      <c r="C252" s="507"/>
      <c r="D252" s="507"/>
      <c r="E252" s="507"/>
      <c r="F252" s="507"/>
    </row>
    <row r="253" spans="2:6" ht="12.75">
      <c r="B253" s="507"/>
      <c r="C253" s="507"/>
      <c r="D253" s="507"/>
      <c r="E253" s="507"/>
      <c r="F253" s="507"/>
    </row>
    <row r="254" spans="2:6" ht="12.75">
      <c r="B254" s="507"/>
      <c r="C254" s="507"/>
      <c r="D254" s="507"/>
      <c r="E254" s="507"/>
      <c r="F254" s="507"/>
    </row>
    <row r="255" spans="2:6" ht="12.75">
      <c r="B255" s="507"/>
      <c r="C255" s="507"/>
      <c r="D255" s="507"/>
      <c r="E255" s="507"/>
      <c r="F255" s="507"/>
    </row>
    <row r="256" spans="2:6" ht="12.75">
      <c r="B256" s="507"/>
      <c r="C256" s="507"/>
      <c r="D256" s="507"/>
      <c r="E256" s="507"/>
      <c r="F256" s="507"/>
    </row>
    <row r="257" spans="2:6" ht="12.75">
      <c r="B257" s="507"/>
      <c r="C257" s="507"/>
      <c r="D257" s="507"/>
      <c r="E257" s="507"/>
      <c r="F257" s="507"/>
    </row>
    <row r="258" spans="2:6" ht="12.75">
      <c r="B258" s="507"/>
      <c r="C258" s="507"/>
      <c r="D258" s="507"/>
      <c r="E258" s="507"/>
      <c r="F258" s="507"/>
    </row>
    <row r="259" spans="2:6" ht="12.75">
      <c r="B259" s="507"/>
      <c r="C259" s="507"/>
      <c r="D259" s="507"/>
      <c r="E259" s="507"/>
      <c r="F259" s="507"/>
    </row>
    <row r="260" spans="2:6" ht="12.75">
      <c r="B260" s="507"/>
      <c r="C260" s="507"/>
      <c r="D260" s="507"/>
      <c r="E260" s="507"/>
      <c r="F260" s="507"/>
    </row>
    <row r="261" spans="2:6" ht="12.75">
      <c r="B261" s="507"/>
      <c r="C261" s="507"/>
      <c r="D261" s="507"/>
      <c r="E261" s="507"/>
      <c r="F261" s="507"/>
    </row>
    <row r="262" spans="2:6" ht="12.75">
      <c r="B262" s="507"/>
      <c r="C262" s="507"/>
      <c r="D262" s="507"/>
      <c r="E262" s="507"/>
      <c r="F262" s="507"/>
    </row>
    <row r="263" spans="2:6" ht="12.75">
      <c r="B263" s="507"/>
      <c r="C263" s="507"/>
      <c r="D263" s="507"/>
      <c r="E263" s="507"/>
      <c r="F263" s="507"/>
    </row>
    <row r="264" spans="2:6" ht="12.75">
      <c r="B264" s="507"/>
      <c r="C264" s="507"/>
      <c r="D264" s="507"/>
      <c r="E264" s="507"/>
      <c r="F264" s="507"/>
    </row>
    <row r="265" spans="2:6" ht="12.75">
      <c r="B265" s="507"/>
      <c r="C265" s="507"/>
      <c r="D265" s="507"/>
      <c r="E265" s="507"/>
      <c r="F265" s="507"/>
    </row>
    <row r="266" spans="2:6" ht="12.75">
      <c r="B266" s="507"/>
      <c r="C266" s="507"/>
      <c r="D266" s="507"/>
      <c r="E266" s="507"/>
      <c r="F266" s="507"/>
    </row>
    <row r="267" spans="2:6" ht="12.75">
      <c r="B267" s="507"/>
      <c r="C267" s="507"/>
      <c r="D267" s="507"/>
      <c r="E267" s="507"/>
      <c r="F267" s="507"/>
    </row>
    <row r="268" spans="2:6" ht="12.75">
      <c r="B268" s="507"/>
      <c r="C268" s="507"/>
      <c r="D268" s="507"/>
      <c r="E268" s="507"/>
      <c r="F268" s="507"/>
    </row>
    <row r="269" spans="2:6" ht="12.75">
      <c r="B269" s="507"/>
      <c r="C269" s="507"/>
      <c r="D269" s="507"/>
      <c r="E269" s="507"/>
      <c r="F269" s="507"/>
    </row>
    <row r="270" spans="2:6" ht="12.75">
      <c r="B270" s="507"/>
      <c r="C270" s="507"/>
      <c r="D270" s="507"/>
      <c r="E270" s="507"/>
      <c r="F270" s="507"/>
    </row>
    <row r="271" spans="2:6" ht="12.75">
      <c r="B271" s="507"/>
      <c r="C271" s="507"/>
      <c r="D271" s="507"/>
      <c r="E271" s="507"/>
      <c r="F271" s="507"/>
    </row>
    <row r="272" spans="2:6" ht="12.75">
      <c r="B272" s="507"/>
      <c r="C272" s="507"/>
      <c r="D272" s="507"/>
      <c r="E272" s="507"/>
      <c r="F272" s="507"/>
    </row>
    <row r="273" spans="2:6" ht="12.75">
      <c r="B273" s="507"/>
      <c r="C273" s="507"/>
      <c r="D273" s="507"/>
      <c r="E273" s="507"/>
      <c r="F273" s="507"/>
    </row>
    <row r="274" spans="2:6" ht="12.75">
      <c r="B274" s="507"/>
      <c r="C274" s="507"/>
      <c r="D274" s="507"/>
      <c r="E274" s="507"/>
      <c r="F274" s="507"/>
    </row>
    <row r="275" spans="2:6" ht="12.75">
      <c r="B275" s="507"/>
      <c r="C275" s="507"/>
      <c r="D275" s="507"/>
      <c r="E275" s="507"/>
      <c r="F275" s="507"/>
    </row>
    <row r="276" spans="2:6" ht="12.75">
      <c r="B276" s="507"/>
      <c r="C276" s="507"/>
      <c r="D276" s="507"/>
      <c r="E276" s="507"/>
      <c r="F276" s="507"/>
    </row>
    <row r="277" spans="2:6" ht="12.75">
      <c r="B277" s="507"/>
      <c r="C277" s="507"/>
      <c r="D277" s="507"/>
      <c r="E277" s="507"/>
      <c r="F277" s="507"/>
    </row>
    <row r="278" spans="2:6" ht="12.75">
      <c r="B278" s="507"/>
      <c r="C278" s="507"/>
      <c r="D278" s="507"/>
      <c r="E278" s="507"/>
      <c r="F278" s="507"/>
    </row>
    <row r="279" spans="2:6" ht="12.75">
      <c r="B279" s="507"/>
      <c r="C279" s="507"/>
      <c r="D279" s="507"/>
      <c r="E279" s="507"/>
      <c r="F279" s="507"/>
    </row>
    <row r="280" spans="2:6" ht="12.75">
      <c r="B280" s="507"/>
      <c r="C280" s="507"/>
      <c r="D280" s="507"/>
      <c r="E280" s="507"/>
      <c r="F280" s="507"/>
    </row>
    <row r="281" spans="2:6" ht="12.75">
      <c r="B281" s="507"/>
      <c r="C281" s="507"/>
      <c r="D281" s="507"/>
      <c r="E281" s="507"/>
      <c r="F281" s="507"/>
    </row>
    <row r="282" spans="2:6" ht="12.75">
      <c r="B282" s="507"/>
      <c r="C282" s="507"/>
      <c r="D282" s="507"/>
      <c r="E282" s="507"/>
      <c r="F282" s="507"/>
    </row>
    <row r="283" spans="2:6" ht="12.75">
      <c r="B283" s="507"/>
      <c r="C283" s="507"/>
      <c r="D283" s="507"/>
      <c r="E283" s="507"/>
      <c r="F283" s="507"/>
    </row>
    <row r="284" spans="2:6" ht="12.75">
      <c r="B284" s="507"/>
      <c r="C284" s="507"/>
      <c r="D284" s="507"/>
      <c r="E284" s="507"/>
      <c r="F284" s="507"/>
    </row>
    <row r="285" spans="2:6" ht="12.75">
      <c r="B285" s="507"/>
      <c r="C285" s="507"/>
      <c r="D285" s="507"/>
      <c r="E285" s="507"/>
      <c r="F285" s="507"/>
    </row>
    <row r="286" spans="2:6" ht="12.75">
      <c r="B286" s="507"/>
      <c r="C286" s="507"/>
      <c r="D286" s="507"/>
      <c r="E286" s="507"/>
      <c r="F286" s="507"/>
    </row>
    <row r="287" spans="2:6" ht="12.75">
      <c r="B287" s="507"/>
      <c r="C287" s="507"/>
      <c r="D287" s="507"/>
      <c r="E287" s="507"/>
      <c r="F287" s="507"/>
    </row>
    <row r="288" spans="2:6" ht="12.75">
      <c r="B288" s="507"/>
      <c r="C288" s="507"/>
      <c r="D288" s="507"/>
      <c r="E288" s="507"/>
      <c r="F288" s="507"/>
    </row>
    <row r="289" spans="2:6" ht="12.75">
      <c r="B289" s="507"/>
      <c r="C289" s="507"/>
      <c r="D289" s="507"/>
      <c r="E289" s="507"/>
      <c r="F289" s="507"/>
    </row>
    <row r="290" spans="2:6" ht="12.75">
      <c r="B290" s="507"/>
      <c r="C290" s="507"/>
      <c r="D290" s="507"/>
      <c r="E290" s="507"/>
      <c r="F290" s="507"/>
    </row>
    <row r="291" spans="2:6" ht="12.75">
      <c r="B291" s="507"/>
      <c r="C291" s="507"/>
      <c r="D291" s="507"/>
      <c r="E291" s="507"/>
      <c r="F291" s="507"/>
    </row>
    <row r="292" spans="2:6" ht="12.75">
      <c r="B292" s="507"/>
      <c r="C292" s="507"/>
      <c r="D292" s="507"/>
      <c r="E292" s="507"/>
      <c r="F292" s="507"/>
    </row>
    <row r="293" spans="2:6" ht="12.75">
      <c r="B293" s="507"/>
      <c r="C293" s="507"/>
      <c r="D293" s="507"/>
      <c r="E293" s="507"/>
      <c r="F293" s="507"/>
    </row>
    <row r="294" spans="2:6" ht="12.75">
      <c r="B294" s="507"/>
      <c r="C294" s="507"/>
      <c r="D294" s="507"/>
      <c r="E294" s="507"/>
      <c r="F294" s="507"/>
    </row>
    <row r="295" spans="2:6" ht="12.75">
      <c r="B295" s="507"/>
      <c r="C295" s="507"/>
      <c r="D295" s="507"/>
      <c r="E295" s="507"/>
      <c r="F295" s="507"/>
    </row>
    <row r="296" spans="2:6" ht="12.75">
      <c r="B296" s="507"/>
      <c r="C296" s="507"/>
      <c r="D296" s="507"/>
      <c r="E296" s="507"/>
      <c r="F296" s="507"/>
    </row>
    <row r="297" spans="2:6" ht="12.75">
      <c r="B297" s="507"/>
      <c r="C297" s="507"/>
      <c r="D297" s="507"/>
      <c r="E297" s="507"/>
      <c r="F297" s="507"/>
    </row>
    <row r="298" spans="2:6" ht="12.75">
      <c r="B298" s="507"/>
      <c r="C298" s="507"/>
      <c r="D298" s="507"/>
      <c r="E298" s="507"/>
      <c r="F298" s="507"/>
    </row>
    <row r="299" spans="2:6" ht="12.75">
      <c r="B299" s="507"/>
      <c r="C299" s="507"/>
      <c r="D299" s="507"/>
      <c r="E299" s="507"/>
      <c r="F299" s="507"/>
    </row>
    <row r="300" spans="2:6" ht="12.75">
      <c r="B300" s="507"/>
      <c r="C300" s="507"/>
      <c r="D300" s="507"/>
      <c r="E300" s="507"/>
      <c r="F300" s="507"/>
    </row>
    <row r="301" spans="2:6" ht="12.75">
      <c r="B301" s="507"/>
      <c r="C301" s="507"/>
      <c r="D301" s="507"/>
      <c r="E301" s="507"/>
      <c r="F301" s="507"/>
    </row>
    <row r="302" spans="2:6" ht="12.75">
      <c r="B302" s="507"/>
      <c r="C302" s="507"/>
      <c r="D302" s="507"/>
      <c r="E302" s="507"/>
      <c r="F302" s="507"/>
    </row>
    <row r="303" spans="2:6" ht="12.75">
      <c r="B303" s="507"/>
      <c r="C303" s="507"/>
      <c r="D303" s="507"/>
      <c r="E303" s="507"/>
      <c r="F303" s="507"/>
    </row>
    <row r="304" spans="2:6" ht="12.75">
      <c r="B304" s="507"/>
      <c r="C304" s="507"/>
      <c r="D304" s="507"/>
      <c r="E304" s="507"/>
      <c r="F304" s="507"/>
    </row>
    <row r="305" spans="2:6" ht="12.75">
      <c r="B305" s="507"/>
      <c r="C305" s="507"/>
      <c r="D305" s="507"/>
      <c r="E305" s="507"/>
      <c r="F305" s="507"/>
    </row>
    <row r="306" spans="2:6" ht="12.75">
      <c r="B306" s="507"/>
      <c r="C306" s="507"/>
      <c r="D306" s="507"/>
      <c r="E306" s="507"/>
      <c r="F306" s="507"/>
    </row>
    <row r="307" spans="2:6" ht="12.75">
      <c r="B307" s="507"/>
      <c r="C307" s="507"/>
      <c r="D307" s="507"/>
      <c r="E307" s="507"/>
      <c r="F307" s="507"/>
    </row>
    <row r="308" spans="2:6" ht="12.75">
      <c r="B308" s="507"/>
      <c r="C308" s="507"/>
      <c r="D308" s="507"/>
      <c r="E308" s="507"/>
      <c r="F308" s="507"/>
    </row>
    <row r="309" spans="2:6" ht="12.75">
      <c r="B309" s="507"/>
      <c r="C309" s="507"/>
      <c r="D309" s="507"/>
      <c r="E309" s="507"/>
      <c r="F309" s="507"/>
    </row>
    <row r="310" spans="2:6" ht="12.75">
      <c r="B310" s="507"/>
      <c r="C310" s="507"/>
      <c r="D310" s="507"/>
      <c r="E310" s="507"/>
      <c r="F310" s="507"/>
    </row>
    <row r="311" spans="2:6" ht="12.75">
      <c r="B311" s="507"/>
      <c r="C311" s="507"/>
      <c r="D311" s="507"/>
      <c r="E311" s="507"/>
      <c r="F311" s="507"/>
    </row>
    <row r="312" spans="2:6" ht="12.75">
      <c r="B312" s="507"/>
      <c r="C312" s="507"/>
      <c r="D312" s="507"/>
      <c r="E312" s="507"/>
      <c r="F312" s="507"/>
    </row>
    <row r="313" spans="2:6" ht="12.75">
      <c r="B313" s="507"/>
      <c r="C313" s="507"/>
      <c r="D313" s="507"/>
      <c r="E313" s="507"/>
      <c r="F313" s="507"/>
    </row>
    <row r="314" spans="2:6" ht="12.75">
      <c r="B314" s="507"/>
      <c r="C314" s="507"/>
      <c r="D314" s="507"/>
      <c r="E314" s="507"/>
      <c r="F314" s="507"/>
    </row>
    <row r="315" spans="2:6" ht="12.75">
      <c r="B315" s="507"/>
      <c r="C315" s="507"/>
      <c r="D315" s="507"/>
      <c r="E315" s="507"/>
      <c r="F315" s="507"/>
    </row>
    <row r="316" spans="2:6" ht="12.75">
      <c r="B316" s="507"/>
      <c r="C316" s="507"/>
      <c r="D316" s="507"/>
      <c r="E316" s="507"/>
      <c r="F316" s="507"/>
    </row>
    <row r="317" spans="2:6" ht="12.75">
      <c r="B317" s="507"/>
      <c r="C317" s="507"/>
      <c r="D317" s="507"/>
      <c r="E317" s="507"/>
      <c r="F317" s="507"/>
    </row>
    <row r="318" spans="2:6" ht="12.75">
      <c r="B318" s="507"/>
      <c r="C318" s="507"/>
      <c r="D318" s="507"/>
      <c r="E318" s="507"/>
      <c r="F318" s="507"/>
    </row>
    <row r="319" spans="2:6" ht="12.75">
      <c r="B319" s="507"/>
      <c r="C319" s="507"/>
      <c r="D319" s="507"/>
      <c r="E319" s="507"/>
      <c r="F319" s="507"/>
    </row>
    <row r="320" spans="2:6" ht="12.75">
      <c r="B320" s="507"/>
      <c r="C320" s="507"/>
      <c r="D320" s="507"/>
      <c r="E320" s="507"/>
      <c r="F320" s="507"/>
    </row>
    <row r="321" spans="2:6" ht="12.75">
      <c r="B321" s="507"/>
      <c r="C321" s="507"/>
      <c r="D321" s="507"/>
      <c r="E321" s="507"/>
      <c r="F321" s="507"/>
    </row>
    <row r="322" spans="2:6" ht="12.75">
      <c r="B322" s="507"/>
      <c r="C322" s="507"/>
      <c r="D322" s="507"/>
      <c r="E322" s="507"/>
      <c r="F322" s="507"/>
    </row>
    <row r="323" spans="2:6" ht="12.75">
      <c r="B323" s="507"/>
      <c r="C323" s="507"/>
      <c r="D323" s="507"/>
      <c r="E323" s="507"/>
      <c r="F323" s="507"/>
    </row>
    <row r="324" spans="2:6" ht="12.75">
      <c r="B324" s="507"/>
      <c r="C324" s="507"/>
      <c r="D324" s="507"/>
      <c r="E324" s="507"/>
      <c r="F324" s="507"/>
    </row>
    <row r="325" spans="2:6" ht="12.75">
      <c r="B325" s="507"/>
      <c r="C325" s="507"/>
      <c r="D325" s="507"/>
      <c r="E325" s="507"/>
      <c r="F325" s="507"/>
    </row>
    <row r="326" spans="2:6" ht="12.75">
      <c r="B326" s="507"/>
      <c r="C326" s="507"/>
      <c r="D326" s="507"/>
      <c r="E326" s="507"/>
      <c r="F326" s="507"/>
    </row>
    <row r="327" spans="2:6" ht="12.75">
      <c r="B327" s="507"/>
      <c r="C327" s="507"/>
      <c r="D327" s="507"/>
      <c r="E327" s="507"/>
      <c r="F327" s="507"/>
    </row>
    <row r="328" spans="2:6" ht="12.75">
      <c r="B328" s="507"/>
      <c r="C328" s="507"/>
      <c r="D328" s="507"/>
      <c r="E328" s="507"/>
      <c r="F328" s="507"/>
    </row>
    <row r="329" spans="2:6" ht="12.75">
      <c r="B329" s="507"/>
      <c r="C329" s="507"/>
      <c r="D329" s="507"/>
      <c r="E329" s="507"/>
      <c r="F329" s="507"/>
    </row>
    <row r="330" spans="2:6" ht="12.75">
      <c r="B330" s="507"/>
      <c r="C330" s="507"/>
      <c r="D330" s="507"/>
      <c r="E330" s="507"/>
      <c r="F330" s="507"/>
    </row>
    <row r="331" spans="2:6" ht="12.75">
      <c r="B331" s="507"/>
      <c r="C331" s="507"/>
      <c r="D331" s="507"/>
      <c r="E331" s="507"/>
      <c r="F331" s="507"/>
    </row>
    <row r="332" spans="2:6" ht="12.75">
      <c r="B332" s="507"/>
      <c r="C332" s="507"/>
      <c r="D332" s="507"/>
      <c r="E332" s="507"/>
      <c r="F332" s="507"/>
    </row>
    <row r="333" spans="2:6" ht="12.75">
      <c r="B333" s="507"/>
      <c r="C333" s="507"/>
      <c r="D333" s="507"/>
      <c r="E333" s="507"/>
      <c r="F333" s="507"/>
    </row>
    <row r="334" spans="2:6" ht="12.75">
      <c r="B334" s="507"/>
      <c r="C334" s="507"/>
      <c r="D334" s="507"/>
      <c r="E334" s="507"/>
      <c r="F334" s="507"/>
    </row>
    <row r="335" spans="2:6" ht="12.75">
      <c r="B335" s="507"/>
      <c r="C335" s="507"/>
      <c r="D335" s="507"/>
      <c r="E335" s="507"/>
      <c r="F335" s="507"/>
    </row>
    <row r="336" spans="2:6" ht="12.75">
      <c r="B336" s="507"/>
      <c r="C336" s="507"/>
      <c r="D336" s="507"/>
      <c r="E336" s="507"/>
      <c r="F336" s="507"/>
    </row>
    <row r="337" spans="2:6" ht="12.75">
      <c r="B337" s="507"/>
      <c r="C337" s="507"/>
      <c r="D337" s="507"/>
      <c r="E337" s="507"/>
      <c r="F337" s="507"/>
    </row>
    <row r="338" spans="2:6" ht="12.75">
      <c r="B338" s="507"/>
      <c r="C338" s="507"/>
      <c r="D338" s="507"/>
      <c r="E338" s="507"/>
      <c r="F338" s="507"/>
    </row>
    <row r="339" spans="2:6" ht="12.75">
      <c r="B339" s="507"/>
      <c r="C339" s="507"/>
      <c r="D339" s="507"/>
      <c r="E339" s="507"/>
      <c r="F339" s="507"/>
    </row>
    <row r="340" spans="2:6" ht="12.75">
      <c r="B340" s="507"/>
      <c r="C340" s="507"/>
      <c r="D340" s="507"/>
      <c r="E340" s="507"/>
      <c r="F340" s="507"/>
    </row>
    <row r="341" spans="2:6" ht="12.75">
      <c r="B341" s="507"/>
      <c r="C341" s="507"/>
      <c r="D341" s="507"/>
      <c r="E341" s="507"/>
      <c r="F341" s="507"/>
    </row>
    <row r="342" spans="2:6" ht="12.75">
      <c r="B342" s="507"/>
      <c r="C342" s="507"/>
      <c r="D342" s="507"/>
      <c r="E342" s="507"/>
      <c r="F342" s="507"/>
    </row>
    <row r="343" spans="2:6" ht="12.75">
      <c r="B343" s="507"/>
      <c r="C343" s="507"/>
      <c r="D343" s="507"/>
      <c r="E343" s="507"/>
      <c r="F343" s="507"/>
    </row>
    <row r="344" spans="2:6" ht="12.75">
      <c r="B344" s="507"/>
      <c r="C344" s="507"/>
      <c r="D344" s="507"/>
      <c r="E344" s="507"/>
      <c r="F344" s="507"/>
    </row>
    <row r="345" spans="2:6" ht="12.75">
      <c r="B345" s="507"/>
      <c r="C345" s="507"/>
      <c r="D345" s="507"/>
      <c r="E345" s="507"/>
      <c r="F345" s="507"/>
    </row>
    <row r="346" spans="2:6" ht="12.75">
      <c r="B346" s="507"/>
      <c r="C346" s="507"/>
      <c r="D346" s="507"/>
      <c r="E346" s="507"/>
      <c r="F346" s="507"/>
    </row>
    <row r="347" spans="2:6" ht="12.75">
      <c r="B347" s="507"/>
      <c r="C347" s="507"/>
      <c r="D347" s="507"/>
      <c r="E347" s="507"/>
      <c r="F347" s="507"/>
    </row>
    <row r="348" spans="2:6" ht="12.75">
      <c r="B348" s="507"/>
      <c r="C348" s="507"/>
      <c r="D348" s="507"/>
      <c r="E348" s="507"/>
      <c r="F348" s="507"/>
    </row>
    <row r="349" spans="2:6" ht="12.75">
      <c r="B349" s="507"/>
      <c r="C349" s="507"/>
      <c r="D349" s="507"/>
      <c r="E349" s="507"/>
      <c r="F349" s="507"/>
    </row>
    <row r="350" spans="2:6" ht="12.75">
      <c r="B350" s="507"/>
      <c r="C350" s="507"/>
      <c r="D350" s="507"/>
      <c r="E350" s="507"/>
      <c r="F350" s="507"/>
    </row>
    <row r="351" spans="2:6" ht="12.75">
      <c r="B351" s="507"/>
      <c r="C351" s="507"/>
      <c r="D351" s="507"/>
      <c r="E351" s="507"/>
      <c r="F351" s="507"/>
    </row>
    <row r="352" spans="2:6" ht="12.75">
      <c r="B352" s="507"/>
      <c r="C352" s="507"/>
      <c r="D352" s="507"/>
      <c r="E352" s="507"/>
      <c r="F352" s="507"/>
    </row>
    <row r="353" spans="2:6" ht="12.75">
      <c r="B353" s="507"/>
      <c r="C353" s="507"/>
      <c r="D353" s="507"/>
      <c r="E353" s="507"/>
      <c r="F353" s="507"/>
    </row>
    <row r="354" spans="2:6" ht="12.75">
      <c r="B354" s="507"/>
      <c r="C354" s="507"/>
      <c r="D354" s="507"/>
      <c r="E354" s="507"/>
      <c r="F354" s="507"/>
    </row>
    <row r="355" spans="2:6" ht="12.75">
      <c r="B355" s="507"/>
      <c r="C355" s="507"/>
      <c r="D355" s="507"/>
      <c r="E355" s="507"/>
      <c r="F355" s="507"/>
    </row>
    <row r="356" spans="2:6" ht="12.75">
      <c r="B356" s="507"/>
      <c r="C356" s="507"/>
      <c r="D356" s="507"/>
      <c r="E356" s="507"/>
      <c r="F356" s="507"/>
    </row>
    <row r="357" spans="2:6" ht="12.75">
      <c r="B357" s="507"/>
      <c r="C357" s="507"/>
      <c r="D357" s="507"/>
      <c r="E357" s="507"/>
      <c r="F357" s="507"/>
    </row>
    <row r="358" spans="2:6" ht="12.75">
      <c r="B358" s="507"/>
      <c r="C358" s="507"/>
      <c r="D358" s="507"/>
      <c r="E358" s="507"/>
      <c r="F358" s="507"/>
    </row>
    <row r="359" spans="2:6" ht="12.75">
      <c r="B359" s="507"/>
      <c r="C359" s="507"/>
      <c r="D359" s="507"/>
      <c r="E359" s="507"/>
      <c r="F359" s="507"/>
    </row>
    <row r="360" spans="2:6" ht="12.75">
      <c r="B360" s="507"/>
      <c r="C360" s="507"/>
      <c r="D360" s="507"/>
      <c r="E360" s="507"/>
      <c r="F360" s="507"/>
    </row>
    <row r="361" spans="2:6" ht="12.75">
      <c r="B361" s="507"/>
      <c r="C361" s="507"/>
      <c r="D361" s="507"/>
      <c r="E361" s="507"/>
      <c r="F361" s="507"/>
    </row>
    <row r="362" spans="2:6" ht="12.75">
      <c r="B362" s="507"/>
      <c r="C362" s="507"/>
      <c r="D362" s="507"/>
      <c r="E362" s="507"/>
      <c r="F362" s="507"/>
    </row>
    <row r="363" spans="2:6" ht="12.75">
      <c r="B363" s="507"/>
      <c r="C363" s="507"/>
      <c r="D363" s="507"/>
      <c r="E363" s="507"/>
      <c r="F363" s="507"/>
    </row>
    <row r="364" spans="2:6" ht="12.75">
      <c r="B364" s="507"/>
      <c r="C364" s="507"/>
      <c r="D364" s="507"/>
      <c r="E364" s="507"/>
      <c r="F364" s="507"/>
    </row>
    <row r="365" spans="2:6" ht="12.75">
      <c r="B365" s="507"/>
      <c r="C365" s="507"/>
      <c r="D365" s="507"/>
      <c r="E365" s="507"/>
      <c r="F365" s="507"/>
    </row>
    <row r="366" spans="2:6" ht="12.75">
      <c r="B366" s="507"/>
      <c r="C366" s="507"/>
      <c r="D366" s="507"/>
      <c r="E366" s="507"/>
      <c r="F366" s="507"/>
    </row>
    <row r="367" spans="2:6" ht="12.75">
      <c r="B367" s="507"/>
      <c r="C367" s="507"/>
      <c r="D367" s="507"/>
      <c r="E367" s="507"/>
      <c r="F367" s="507"/>
    </row>
    <row r="368" spans="2:6" ht="12.75">
      <c r="B368" s="507"/>
      <c r="C368" s="507"/>
      <c r="D368" s="507"/>
      <c r="E368" s="507"/>
      <c r="F368" s="507"/>
    </row>
    <row r="369" spans="2:6" ht="12.75">
      <c r="B369" s="507"/>
      <c r="C369" s="507"/>
      <c r="D369" s="507"/>
      <c r="E369" s="507"/>
      <c r="F369" s="507"/>
    </row>
    <row r="370" spans="2:6" ht="12.75">
      <c r="B370" s="507"/>
      <c r="C370" s="507"/>
      <c r="D370" s="507"/>
      <c r="E370" s="507"/>
      <c r="F370" s="507"/>
    </row>
    <row r="371" spans="2:6" ht="12.75">
      <c r="B371" s="507"/>
      <c r="C371" s="507"/>
      <c r="D371" s="507"/>
      <c r="E371" s="507"/>
      <c r="F371" s="507"/>
    </row>
    <row r="372" spans="2:6" ht="12.75">
      <c r="B372" s="507"/>
      <c r="C372" s="507"/>
      <c r="D372" s="507"/>
      <c r="E372" s="507"/>
      <c r="F372" s="507"/>
    </row>
    <row r="373" spans="2:6" ht="12.75">
      <c r="B373" s="507"/>
      <c r="C373" s="507"/>
      <c r="D373" s="507"/>
      <c r="E373" s="507"/>
      <c r="F373" s="507"/>
    </row>
    <row r="374" spans="2:6" ht="12.75">
      <c r="B374" s="507"/>
      <c r="C374" s="507"/>
      <c r="D374" s="507"/>
      <c r="E374" s="507"/>
      <c r="F374" s="507"/>
    </row>
    <row r="375" spans="2:6" ht="12.75">
      <c r="B375" s="507"/>
      <c r="C375" s="507"/>
      <c r="D375" s="507"/>
      <c r="E375" s="507"/>
      <c r="F375" s="507"/>
    </row>
    <row r="376" spans="2:6" ht="12.75">
      <c r="B376" s="507"/>
      <c r="C376" s="507"/>
      <c r="D376" s="507"/>
      <c r="E376" s="507"/>
      <c r="F376" s="507"/>
    </row>
    <row r="377" spans="2:6" ht="12.75">
      <c r="B377" s="507"/>
      <c r="C377" s="507"/>
      <c r="D377" s="507"/>
      <c r="E377" s="507"/>
      <c r="F377" s="507"/>
    </row>
    <row r="378" spans="2:6" ht="12.75">
      <c r="B378" s="507"/>
      <c r="C378" s="507"/>
      <c r="D378" s="507"/>
      <c r="E378" s="507"/>
      <c r="F378" s="507"/>
    </row>
    <row r="379" spans="2:6" ht="12.75">
      <c r="B379" s="507"/>
      <c r="C379" s="507"/>
      <c r="D379" s="507"/>
      <c r="E379" s="507"/>
      <c r="F379" s="507"/>
    </row>
    <row r="380" spans="2:6" ht="12.75">
      <c r="B380" s="507"/>
      <c r="C380" s="507"/>
      <c r="D380" s="507"/>
      <c r="E380" s="507"/>
      <c r="F380" s="507"/>
    </row>
    <row r="381" spans="2:6" ht="12.75">
      <c r="B381" s="507"/>
      <c r="C381" s="507"/>
      <c r="D381" s="507"/>
      <c r="E381" s="507"/>
      <c r="F381" s="507"/>
    </row>
    <row r="382" spans="2:6" ht="12.75">
      <c r="B382" s="507"/>
      <c r="C382" s="507"/>
      <c r="D382" s="507"/>
      <c r="E382" s="507"/>
      <c r="F382" s="507"/>
    </row>
    <row r="383" spans="2:6" ht="12.75">
      <c r="B383" s="507"/>
      <c r="C383" s="507"/>
      <c r="D383" s="507"/>
      <c r="E383" s="507"/>
      <c r="F383" s="507"/>
    </row>
    <row r="384" spans="2:6" ht="12.75">
      <c r="B384" s="507"/>
      <c r="C384" s="507"/>
      <c r="D384" s="507"/>
      <c r="E384" s="507"/>
      <c r="F384" s="507"/>
    </row>
    <row r="385" spans="2:6" ht="12.75">
      <c r="B385" s="507"/>
      <c r="C385" s="507"/>
      <c r="D385" s="507"/>
      <c r="E385" s="507"/>
      <c r="F385" s="507"/>
    </row>
    <row r="386" spans="2:6" ht="12.75">
      <c r="B386" s="507"/>
      <c r="C386" s="507"/>
      <c r="D386" s="507"/>
      <c r="E386" s="507"/>
      <c r="F386" s="507"/>
    </row>
    <row r="387" spans="2:6" ht="12.75">
      <c r="B387" s="507"/>
      <c r="C387" s="507"/>
      <c r="D387" s="507"/>
      <c r="E387" s="507"/>
      <c r="F387" s="507"/>
    </row>
    <row r="388" spans="2:6" ht="12.75">
      <c r="B388" s="507"/>
      <c r="C388" s="507"/>
      <c r="D388" s="507"/>
      <c r="E388" s="507"/>
      <c r="F388" s="507"/>
    </row>
    <row r="389" spans="2:6" ht="12.75">
      <c r="B389" s="507"/>
      <c r="C389" s="507"/>
      <c r="D389" s="507"/>
      <c r="E389" s="507"/>
      <c r="F389" s="507"/>
    </row>
    <row r="390" spans="2:6" ht="12.75">
      <c r="B390" s="507"/>
      <c r="C390" s="507"/>
      <c r="D390" s="507"/>
      <c r="E390" s="507"/>
      <c r="F390" s="507"/>
    </row>
    <row r="391" spans="2:6" ht="12.75">
      <c r="B391" s="507"/>
      <c r="C391" s="507"/>
      <c r="D391" s="507"/>
      <c r="E391" s="507"/>
      <c r="F391" s="507"/>
    </row>
    <row r="392" spans="2:6" ht="12.75">
      <c r="B392" s="507"/>
      <c r="C392" s="507"/>
      <c r="D392" s="507"/>
      <c r="E392" s="507"/>
      <c r="F392" s="507"/>
    </row>
    <row r="393" spans="2:6" ht="12.75">
      <c r="B393" s="507"/>
      <c r="C393" s="507"/>
      <c r="D393" s="507"/>
      <c r="E393" s="507"/>
      <c r="F393" s="507"/>
    </row>
    <row r="394" spans="2:6" ht="12.75">
      <c r="B394" s="507"/>
      <c r="C394" s="507"/>
      <c r="D394" s="507"/>
      <c r="E394" s="507"/>
      <c r="F394" s="507"/>
    </row>
    <row r="395" spans="2:6" ht="12.75">
      <c r="B395" s="507"/>
      <c r="C395" s="507"/>
      <c r="D395" s="507"/>
      <c r="E395" s="507"/>
      <c r="F395" s="507"/>
    </row>
    <row r="396" spans="2:6" ht="12.75">
      <c r="B396" s="507"/>
      <c r="C396" s="507"/>
      <c r="D396" s="507"/>
      <c r="E396" s="507"/>
      <c r="F396" s="507"/>
    </row>
    <row r="397" spans="2:6" ht="12.75">
      <c r="B397" s="507"/>
      <c r="C397" s="507"/>
      <c r="D397" s="507"/>
      <c r="E397" s="507"/>
      <c r="F397" s="507"/>
    </row>
    <row r="398" spans="2:6" ht="12.75">
      <c r="B398" s="507"/>
      <c r="C398" s="507"/>
      <c r="D398" s="507"/>
      <c r="E398" s="507"/>
      <c r="F398" s="507"/>
    </row>
    <row r="399" spans="2:6" ht="12.75">
      <c r="B399" s="507"/>
      <c r="C399" s="507"/>
      <c r="D399" s="507"/>
      <c r="E399" s="507"/>
      <c r="F399" s="507"/>
    </row>
    <row r="400" spans="2:6" ht="12.75">
      <c r="B400" s="507"/>
      <c r="C400" s="507"/>
      <c r="D400" s="507"/>
      <c r="E400" s="507"/>
      <c r="F400" s="507"/>
    </row>
    <row r="401" spans="2:6" ht="12.75">
      <c r="B401" s="507"/>
      <c r="C401" s="507"/>
      <c r="D401" s="507"/>
      <c r="E401" s="507"/>
      <c r="F401" s="507"/>
    </row>
    <row r="402" spans="2:6" ht="12.75">
      <c r="B402" s="507"/>
      <c r="C402" s="507"/>
      <c r="D402" s="507"/>
      <c r="E402" s="507"/>
      <c r="F402" s="507"/>
    </row>
    <row r="403" spans="2:6" ht="12.75">
      <c r="B403" s="507"/>
      <c r="C403" s="507"/>
      <c r="D403" s="507"/>
      <c r="E403" s="507"/>
      <c r="F403" s="507"/>
    </row>
    <row r="404" spans="2:6" ht="12.75">
      <c r="B404" s="507"/>
      <c r="C404" s="507"/>
      <c r="D404" s="507"/>
      <c r="E404" s="507"/>
      <c r="F404" s="507"/>
    </row>
    <row r="405" spans="2:6" ht="12.75">
      <c r="B405" s="507"/>
      <c r="C405" s="507"/>
      <c r="D405" s="507"/>
      <c r="E405" s="507"/>
      <c r="F405" s="507"/>
    </row>
    <row r="406" spans="2:6" ht="12.75">
      <c r="B406" s="507"/>
      <c r="C406" s="507"/>
      <c r="D406" s="507"/>
      <c r="E406" s="507"/>
      <c r="F406" s="507"/>
    </row>
    <row r="407" spans="2:6" ht="12.75">
      <c r="B407" s="507"/>
      <c r="C407" s="507"/>
      <c r="D407" s="507"/>
      <c r="E407" s="507"/>
      <c r="F407" s="507"/>
    </row>
    <row r="408" spans="2:6" ht="12.75">
      <c r="B408" s="507"/>
      <c r="C408" s="507"/>
      <c r="D408" s="507"/>
      <c r="E408" s="507"/>
      <c r="F408" s="507"/>
    </row>
    <row r="409" spans="2:6" ht="12.75">
      <c r="B409" s="507"/>
      <c r="C409" s="507"/>
      <c r="D409" s="507"/>
      <c r="E409" s="507"/>
      <c r="F409" s="507"/>
    </row>
    <row r="410" spans="2:6" ht="12.75">
      <c r="B410" s="507"/>
      <c r="C410" s="507"/>
      <c r="D410" s="507"/>
      <c r="E410" s="507"/>
      <c r="F410" s="507"/>
    </row>
    <row r="411" spans="2:6" ht="12.75">
      <c r="B411" s="507"/>
      <c r="C411" s="507"/>
      <c r="D411" s="507"/>
      <c r="E411" s="507"/>
      <c r="F411" s="507"/>
    </row>
    <row r="412" spans="2:6" ht="12.75">
      <c r="B412" s="507"/>
      <c r="C412" s="507"/>
      <c r="D412" s="507"/>
      <c r="E412" s="507"/>
      <c r="F412" s="507"/>
    </row>
    <row r="413" spans="2:6" ht="12.75">
      <c r="B413" s="507"/>
      <c r="C413" s="507"/>
      <c r="D413" s="507"/>
      <c r="E413" s="507"/>
      <c r="F413" s="507"/>
    </row>
    <row r="414" spans="2:6" ht="12.75">
      <c r="B414" s="507"/>
      <c r="C414" s="507"/>
      <c r="D414" s="507"/>
      <c r="E414" s="507"/>
      <c r="F414" s="507"/>
    </row>
    <row r="415" spans="2:6" ht="12.75">
      <c r="B415" s="507"/>
      <c r="C415" s="507"/>
      <c r="D415" s="507"/>
      <c r="E415" s="507"/>
      <c r="F415" s="507"/>
    </row>
    <row r="416" spans="2:6" ht="12.75">
      <c r="B416" s="507"/>
      <c r="C416" s="507"/>
      <c r="D416" s="507"/>
      <c r="E416" s="507"/>
      <c r="F416" s="507"/>
    </row>
    <row r="417" spans="2:6" ht="12.75">
      <c r="B417" s="507"/>
      <c r="C417" s="507"/>
      <c r="D417" s="507"/>
      <c r="E417" s="507"/>
      <c r="F417" s="507"/>
    </row>
    <row r="418" spans="2:6" ht="12.75">
      <c r="B418" s="507"/>
      <c r="C418" s="507"/>
      <c r="D418" s="507"/>
      <c r="E418" s="507"/>
      <c r="F418" s="507"/>
    </row>
    <row r="419" spans="2:6" ht="12.75">
      <c r="B419" s="507"/>
      <c r="C419" s="507"/>
      <c r="D419" s="507"/>
      <c r="E419" s="507"/>
      <c r="F419" s="507"/>
    </row>
    <row r="420" spans="2:6" ht="12.75">
      <c r="B420" s="507"/>
      <c r="C420" s="507"/>
      <c r="D420" s="507"/>
      <c r="E420" s="507"/>
      <c r="F420" s="507"/>
    </row>
    <row r="421" spans="2:6" ht="12.75">
      <c r="B421" s="507"/>
      <c r="C421" s="507"/>
      <c r="D421" s="507"/>
      <c r="E421" s="507"/>
      <c r="F421" s="507"/>
    </row>
    <row r="422" spans="2:6" ht="12.75">
      <c r="B422" s="507"/>
      <c r="C422" s="507"/>
      <c r="D422" s="507"/>
      <c r="E422" s="507"/>
      <c r="F422" s="507"/>
    </row>
    <row r="423" spans="2:6" ht="12.75">
      <c r="B423" s="507"/>
      <c r="C423" s="507"/>
      <c r="D423" s="507"/>
      <c r="E423" s="507"/>
      <c r="F423" s="507"/>
    </row>
    <row r="424" spans="2:6" ht="12.75">
      <c r="B424" s="507"/>
      <c r="C424" s="507"/>
      <c r="D424" s="507"/>
      <c r="E424" s="507"/>
      <c r="F424" s="507"/>
    </row>
    <row r="425" spans="2:6" ht="12.75">
      <c r="B425" s="507"/>
      <c r="C425" s="507"/>
      <c r="D425" s="507"/>
      <c r="E425" s="507"/>
      <c r="F425" s="507"/>
    </row>
    <row r="426" spans="2:6" ht="12.75">
      <c r="B426" s="507"/>
      <c r="C426" s="507"/>
      <c r="D426" s="507"/>
      <c r="E426" s="507"/>
      <c r="F426" s="507"/>
    </row>
    <row r="427" spans="2:6" ht="12.75">
      <c r="B427" s="507"/>
      <c r="C427" s="507"/>
      <c r="D427" s="507"/>
      <c r="E427" s="507"/>
      <c r="F427" s="507"/>
    </row>
    <row r="428" spans="2:6" ht="12.75">
      <c r="B428" s="507"/>
      <c r="C428" s="507"/>
      <c r="D428" s="507"/>
      <c r="E428" s="507"/>
      <c r="F428" s="507"/>
    </row>
    <row r="429" spans="2:6" ht="12.75">
      <c r="B429" s="507"/>
      <c r="C429" s="507"/>
      <c r="D429" s="507"/>
      <c r="E429" s="507"/>
      <c r="F429" s="507"/>
    </row>
    <row r="430" spans="2:6" ht="12.75">
      <c r="B430" s="507"/>
      <c r="C430" s="507"/>
      <c r="D430" s="507"/>
      <c r="E430" s="507"/>
      <c r="F430" s="507"/>
    </row>
    <row r="431" spans="2:6" ht="12.75">
      <c r="B431" s="507"/>
      <c r="C431" s="507"/>
      <c r="D431" s="507"/>
      <c r="E431" s="507"/>
      <c r="F431" s="507"/>
    </row>
    <row r="432" spans="2:6" ht="12.75">
      <c r="B432" s="507"/>
      <c r="C432" s="507"/>
      <c r="D432" s="507"/>
      <c r="E432" s="507"/>
      <c r="F432" s="507"/>
    </row>
    <row r="433" spans="2:6" ht="12.75">
      <c r="B433" s="507"/>
      <c r="C433" s="507"/>
      <c r="D433" s="507"/>
      <c r="E433" s="507"/>
      <c r="F433" s="507"/>
    </row>
    <row r="434" spans="2:6" ht="12.75">
      <c r="B434" s="507"/>
      <c r="C434" s="507"/>
      <c r="D434" s="507"/>
      <c r="E434" s="507"/>
      <c r="F434" s="507"/>
    </row>
    <row r="435" spans="2:6" ht="12.75">
      <c r="B435" s="507"/>
      <c r="C435" s="507"/>
      <c r="D435" s="507"/>
      <c r="E435" s="507"/>
      <c r="F435" s="507"/>
    </row>
    <row r="436" spans="2:6" ht="12.75">
      <c r="B436" s="507"/>
      <c r="C436" s="507"/>
      <c r="D436" s="507"/>
      <c r="E436" s="507"/>
      <c r="F436" s="507"/>
    </row>
    <row r="437" spans="2:6" ht="12.75">
      <c r="B437" s="507"/>
      <c r="C437" s="507"/>
      <c r="D437" s="507"/>
      <c r="E437" s="507"/>
      <c r="F437" s="507"/>
    </row>
    <row r="438" spans="2:6" ht="12.75">
      <c r="B438" s="507"/>
      <c r="C438" s="507"/>
      <c r="D438" s="507"/>
      <c r="E438" s="507"/>
      <c r="F438" s="507"/>
    </row>
    <row r="439" spans="2:6" ht="12.75">
      <c r="B439" s="507"/>
      <c r="C439" s="507"/>
      <c r="D439" s="507"/>
      <c r="E439" s="507"/>
      <c r="F439" s="507"/>
    </row>
    <row r="440" spans="2:6" ht="12.75">
      <c r="B440" s="507"/>
      <c r="C440" s="507"/>
      <c r="D440" s="507"/>
      <c r="E440" s="507"/>
      <c r="F440" s="507"/>
    </row>
    <row r="441" spans="2:6" ht="12.75">
      <c r="B441" s="507"/>
      <c r="C441" s="507"/>
      <c r="D441" s="507"/>
      <c r="E441" s="507"/>
      <c r="F441" s="507"/>
    </row>
    <row r="442" spans="2:6" ht="12.75">
      <c r="B442" s="507"/>
      <c r="C442" s="507"/>
      <c r="D442" s="507"/>
      <c r="E442" s="507"/>
      <c r="F442" s="507"/>
    </row>
    <row r="443" spans="2:6" ht="12.75">
      <c r="B443" s="507"/>
      <c r="C443" s="507"/>
      <c r="D443" s="507"/>
      <c r="E443" s="507"/>
      <c r="F443" s="507"/>
    </row>
    <row r="444" spans="2:6" ht="12.75">
      <c r="B444" s="507"/>
      <c r="C444" s="507"/>
      <c r="D444" s="507"/>
      <c r="E444" s="507"/>
      <c r="F444" s="507"/>
    </row>
    <row r="445" spans="2:6" ht="12.75">
      <c r="B445" s="507"/>
      <c r="C445" s="507"/>
      <c r="D445" s="507"/>
      <c r="E445" s="507"/>
      <c r="F445" s="507"/>
    </row>
    <row r="446" spans="2:6" ht="12.75">
      <c r="B446" s="507"/>
      <c r="C446" s="507"/>
      <c r="D446" s="507"/>
      <c r="E446" s="507"/>
      <c r="F446" s="507"/>
    </row>
    <row r="447" spans="2:6" ht="12.75">
      <c r="B447" s="507"/>
      <c r="C447" s="507"/>
      <c r="D447" s="507"/>
      <c r="E447" s="507"/>
      <c r="F447" s="507"/>
    </row>
    <row r="448" spans="2:6" ht="12.75">
      <c r="B448" s="507"/>
      <c r="C448" s="507"/>
      <c r="D448" s="507"/>
      <c r="E448" s="507"/>
      <c r="F448" s="507"/>
    </row>
    <row r="449" spans="2:6" ht="12.75">
      <c r="B449" s="507"/>
      <c r="C449" s="507"/>
      <c r="D449" s="507"/>
      <c r="E449" s="507"/>
      <c r="F449" s="507"/>
    </row>
    <row r="450" spans="2:6" ht="12.75">
      <c r="B450" s="507"/>
      <c r="C450" s="507"/>
      <c r="D450" s="507"/>
      <c r="E450" s="507"/>
      <c r="F450" s="507"/>
    </row>
    <row r="451" spans="2:6" ht="12.75">
      <c r="B451" s="507"/>
      <c r="C451" s="507"/>
      <c r="D451" s="507"/>
      <c r="E451" s="507"/>
      <c r="F451" s="507"/>
    </row>
    <row r="452" spans="2:6" ht="12.75">
      <c r="B452" s="507"/>
      <c r="C452" s="507"/>
      <c r="D452" s="507"/>
      <c r="E452" s="507"/>
      <c r="F452" s="507"/>
    </row>
    <row r="453" spans="2:6" ht="12.75">
      <c r="B453" s="507"/>
      <c r="C453" s="507"/>
      <c r="D453" s="507"/>
      <c r="E453" s="507"/>
      <c r="F453" s="507"/>
    </row>
    <row r="454" spans="2:6" ht="12.75">
      <c r="B454" s="507"/>
      <c r="C454" s="507"/>
      <c r="D454" s="507"/>
      <c r="E454" s="507"/>
      <c r="F454" s="507"/>
    </row>
    <row r="455" spans="2:6" ht="12.75">
      <c r="B455" s="507"/>
      <c r="C455" s="507"/>
      <c r="D455" s="507"/>
      <c r="E455" s="507"/>
      <c r="F455" s="507"/>
    </row>
    <row r="456" spans="2:6" ht="12.75">
      <c r="B456" s="507"/>
      <c r="C456" s="507"/>
      <c r="D456" s="507"/>
      <c r="E456" s="507"/>
      <c r="F456" s="507"/>
    </row>
    <row r="457" spans="2:6" ht="12.75">
      <c r="B457" s="507"/>
      <c r="C457" s="507"/>
      <c r="D457" s="507"/>
      <c r="E457" s="507"/>
      <c r="F457" s="507"/>
    </row>
    <row r="458" spans="2:6" ht="12.75">
      <c r="B458" s="507"/>
      <c r="C458" s="507"/>
      <c r="D458" s="507"/>
      <c r="E458" s="507"/>
      <c r="F458" s="507"/>
    </row>
    <row r="459" spans="2:6" ht="12.75">
      <c r="B459" s="507"/>
      <c r="C459" s="507"/>
      <c r="D459" s="507"/>
      <c r="E459" s="507"/>
      <c r="F459" s="507"/>
    </row>
    <row r="460" spans="2:6" ht="12.75">
      <c r="B460" s="507"/>
      <c r="C460" s="507"/>
      <c r="D460" s="507"/>
      <c r="E460" s="507"/>
      <c r="F460" s="507"/>
    </row>
    <row r="461" spans="2:6" ht="12.75">
      <c r="B461" s="507"/>
      <c r="C461" s="507"/>
      <c r="D461" s="507"/>
      <c r="E461" s="507"/>
      <c r="F461" s="507"/>
    </row>
    <row r="462" spans="2:6" ht="12.75">
      <c r="B462" s="507"/>
      <c r="C462" s="507"/>
      <c r="D462" s="507"/>
      <c r="E462" s="507"/>
      <c r="F462" s="507"/>
    </row>
    <row r="463" spans="2:6" ht="12.75">
      <c r="B463" s="507"/>
      <c r="C463" s="507"/>
      <c r="D463" s="507"/>
      <c r="E463" s="507"/>
      <c r="F463" s="507"/>
    </row>
    <row r="464" spans="2:6" ht="12.75">
      <c r="B464" s="507"/>
      <c r="C464" s="507"/>
      <c r="D464" s="507"/>
      <c r="E464" s="507"/>
      <c r="F464" s="507"/>
    </row>
    <row r="465" spans="2:6" ht="12.75">
      <c r="B465" s="507"/>
      <c r="C465" s="507"/>
      <c r="D465" s="507"/>
      <c r="E465" s="507"/>
      <c r="F465" s="507"/>
    </row>
    <row r="466" spans="2:6" ht="12.75">
      <c r="B466" s="507"/>
      <c r="C466" s="507"/>
      <c r="D466" s="507"/>
      <c r="E466" s="507"/>
      <c r="F466" s="507"/>
    </row>
    <row r="467" spans="2:6" ht="12.75">
      <c r="B467" s="507"/>
      <c r="C467" s="507"/>
      <c r="D467" s="507"/>
      <c r="E467" s="507"/>
      <c r="F467" s="507"/>
    </row>
    <row r="468" spans="2:6" ht="12.75">
      <c r="B468" s="507"/>
      <c r="C468" s="507"/>
      <c r="D468" s="507"/>
      <c r="E468" s="507"/>
      <c r="F468" s="507"/>
    </row>
    <row r="469" spans="2:6" ht="12.75">
      <c r="B469" s="507"/>
      <c r="C469" s="507"/>
      <c r="D469" s="507"/>
      <c r="E469" s="507"/>
      <c r="F469" s="507"/>
    </row>
    <row r="470" spans="2:6" ht="12.75">
      <c r="B470" s="507"/>
      <c r="C470" s="507"/>
      <c r="D470" s="507"/>
      <c r="E470" s="507"/>
      <c r="F470" s="507"/>
    </row>
    <row r="471" spans="2:6" ht="12.75">
      <c r="B471" s="507"/>
      <c r="C471" s="507"/>
      <c r="D471" s="507"/>
      <c r="E471" s="507"/>
      <c r="F471" s="507"/>
    </row>
    <row r="472" spans="2:6" ht="12.75">
      <c r="B472" s="507"/>
      <c r="C472" s="507"/>
      <c r="D472" s="507"/>
      <c r="E472" s="507"/>
      <c r="F472" s="507"/>
    </row>
    <row r="473" spans="2:6" ht="12.75">
      <c r="B473" s="507"/>
      <c r="C473" s="507"/>
      <c r="D473" s="507"/>
      <c r="E473" s="507"/>
      <c r="F473" s="507"/>
    </row>
    <row r="474" spans="2:6" ht="12.75">
      <c r="B474" s="507"/>
      <c r="C474" s="507"/>
      <c r="D474" s="507"/>
      <c r="E474" s="507"/>
      <c r="F474" s="507"/>
    </row>
    <row r="475" spans="2:6" ht="12.75">
      <c r="B475" s="507"/>
      <c r="C475" s="507"/>
      <c r="D475" s="507"/>
      <c r="E475" s="507"/>
      <c r="F475" s="507"/>
    </row>
    <row r="476" spans="2:6" ht="12.75">
      <c r="B476" s="507"/>
      <c r="C476" s="507"/>
      <c r="D476" s="507"/>
      <c r="E476" s="507"/>
      <c r="F476" s="507"/>
    </row>
    <row r="477" spans="2:6" ht="12.75">
      <c r="B477" s="507"/>
      <c r="C477" s="507"/>
      <c r="D477" s="507"/>
      <c r="E477" s="507"/>
      <c r="F477" s="507"/>
    </row>
    <row r="478" spans="2:6" ht="12.75">
      <c r="B478" s="507"/>
      <c r="C478" s="507"/>
      <c r="D478" s="507"/>
      <c r="E478" s="507"/>
      <c r="F478" s="507"/>
    </row>
    <row r="479" spans="2:6" ht="12.75">
      <c r="B479" s="507"/>
      <c r="C479" s="507"/>
      <c r="D479" s="507"/>
      <c r="E479" s="507"/>
      <c r="F479" s="507"/>
    </row>
    <row r="480" spans="2:6" ht="12.75">
      <c r="B480" s="507"/>
      <c r="C480" s="507"/>
      <c r="D480" s="507"/>
      <c r="E480" s="507"/>
      <c r="F480" s="507"/>
    </row>
    <row r="481" spans="2:6" ht="12.75">
      <c r="B481" s="507"/>
      <c r="C481" s="507"/>
      <c r="D481" s="507"/>
      <c r="E481" s="507"/>
      <c r="F481" s="507"/>
    </row>
    <row r="482" spans="2:6" ht="12.75">
      <c r="B482" s="507"/>
      <c r="C482" s="507"/>
      <c r="D482" s="507"/>
      <c r="E482" s="507"/>
      <c r="F482" s="507"/>
    </row>
    <row r="483" spans="2:6" ht="12.75">
      <c r="B483" s="507"/>
      <c r="C483" s="507"/>
      <c r="D483" s="507"/>
      <c r="E483" s="507"/>
      <c r="F483" s="507"/>
    </row>
    <row r="484" spans="2:6" ht="12.75">
      <c r="B484" s="507"/>
      <c r="C484" s="507"/>
      <c r="D484" s="507"/>
      <c r="E484" s="507"/>
      <c r="F484" s="507"/>
    </row>
    <row r="485" spans="2:6" ht="12.75">
      <c r="B485" s="507"/>
      <c r="C485" s="507"/>
      <c r="D485" s="507"/>
      <c r="E485" s="507"/>
      <c r="F485" s="507"/>
    </row>
    <row r="486" spans="2:6" ht="12.75">
      <c r="B486" s="507"/>
      <c r="C486" s="507"/>
      <c r="D486" s="507"/>
      <c r="E486" s="507"/>
      <c r="F486" s="507"/>
    </row>
    <row r="487" spans="2:6" ht="12.75">
      <c r="B487" s="507"/>
      <c r="C487" s="507"/>
      <c r="D487" s="507"/>
      <c r="E487" s="507"/>
      <c r="F487" s="507"/>
    </row>
    <row r="488" spans="2:6" ht="12.75">
      <c r="B488" s="507"/>
      <c r="C488" s="507"/>
      <c r="D488" s="507"/>
      <c r="E488" s="507"/>
      <c r="F488" s="507"/>
    </row>
    <row r="489" spans="2:6" ht="12.75">
      <c r="B489" s="507"/>
      <c r="C489" s="507"/>
      <c r="D489" s="507"/>
      <c r="E489" s="507"/>
      <c r="F489" s="507"/>
    </row>
    <row r="490" spans="2:6" ht="12.75">
      <c r="B490" s="507"/>
      <c r="C490" s="507"/>
      <c r="D490" s="507"/>
      <c r="E490" s="507"/>
      <c r="F490" s="507"/>
    </row>
    <row r="491" spans="2:6" ht="12.75">
      <c r="B491" s="507"/>
      <c r="C491" s="507"/>
      <c r="D491" s="507"/>
      <c r="E491" s="507"/>
      <c r="F491" s="507"/>
    </row>
    <row r="492" spans="2:6" ht="12.75">
      <c r="B492" s="507"/>
      <c r="C492" s="507"/>
      <c r="D492" s="507"/>
      <c r="E492" s="507"/>
      <c r="F492" s="507"/>
    </row>
    <row r="493" spans="2:6" ht="12.75">
      <c r="B493" s="507"/>
      <c r="C493" s="507"/>
      <c r="D493" s="507"/>
      <c r="E493" s="507"/>
      <c r="F493" s="507"/>
    </row>
    <row r="494" spans="2:6" ht="12.75">
      <c r="B494" s="507"/>
      <c r="C494" s="507"/>
      <c r="D494" s="507"/>
      <c r="E494" s="507"/>
      <c r="F494" s="507"/>
    </row>
    <row r="495" spans="2:6" ht="12.75">
      <c r="B495" s="507"/>
      <c r="C495" s="507"/>
      <c r="D495" s="507"/>
      <c r="E495" s="507"/>
      <c r="F495" s="507"/>
    </row>
    <row r="496" spans="2:6" ht="12.75">
      <c r="B496" s="507"/>
      <c r="C496" s="507"/>
      <c r="D496" s="507"/>
      <c r="E496" s="507"/>
      <c r="F496" s="507"/>
    </row>
    <row r="497" spans="2:6" ht="12.75">
      <c r="B497" s="507"/>
      <c r="C497" s="507"/>
      <c r="D497" s="507"/>
      <c r="E497" s="507"/>
      <c r="F497" s="507"/>
    </row>
    <row r="498" spans="2:6" ht="12.75">
      <c r="B498" s="507"/>
      <c r="C498" s="507"/>
      <c r="D498" s="507"/>
      <c r="E498" s="507"/>
      <c r="F498" s="507"/>
    </row>
    <row r="499" spans="2:6" ht="12.75">
      <c r="B499" s="507"/>
      <c r="C499" s="507"/>
      <c r="D499" s="507"/>
      <c r="E499" s="507"/>
      <c r="F499" s="507"/>
    </row>
    <row r="500" spans="2:6" ht="12.75">
      <c r="B500" s="507"/>
      <c r="C500" s="507"/>
      <c r="D500" s="507"/>
      <c r="E500" s="507"/>
      <c r="F500" s="507"/>
    </row>
    <row r="501" spans="2:6" ht="12.75">
      <c r="B501" s="507"/>
      <c r="C501" s="507"/>
      <c r="D501" s="507"/>
      <c r="E501" s="507"/>
      <c r="F501" s="507"/>
    </row>
    <row r="502" spans="2:6" ht="12.75">
      <c r="B502" s="507"/>
      <c r="C502" s="507"/>
      <c r="D502" s="507"/>
      <c r="E502" s="507"/>
      <c r="F502" s="507"/>
    </row>
    <row r="503" spans="2:6" ht="12.75">
      <c r="B503" s="507"/>
      <c r="C503" s="507"/>
      <c r="D503" s="507"/>
      <c r="E503" s="507"/>
      <c r="F503" s="507"/>
    </row>
    <row r="504" spans="2:6" ht="12.75">
      <c r="B504" s="507"/>
      <c r="C504" s="507"/>
      <c r="D504" s="507"/>
      <c r="E504" s="507"/>
      <c r="F504" s="507"/>
    </row>
    <row r="505" spans="2:6" ht="12.75">
      <c r="B505" s="507"/>
      <c r="C505" s="507"/>
      <c r="D505" s="507"/>
      <c r="E505" s="507"/>
      <c r="F505" s="507"/>
    </row>
    <row r="506" spans="2:6" ht="12.75">
      <c r="B506" s="507"/>
      <c r="C506" s="507"/>
      <c r="D506" s="507"/>
      <c r="E506" s="507"/>
      <c r="F506" s="507"/>
    </row>
    <row r="507" spans="2:6" ht="12.75">
      <c r="B507" s="507"/>
      <c r="C507" s="507"/>
      <c r="D507" s="507"/>
      <c r="E507" s="507"/>
      <c r="F507" s="507"/>
    </row>
    <row r="508" spans="2:6" ht="12.75">
      <c r="B508" s="507"/>
      <c r="C508" s="507"/>
      <c r="D508" s="507"/>
      <c r="E508" s="507"/>
      <c r="F508" s="507"/>
    </row>
    <row r="509" spans="2:6" ht="12.75">
      <c r="B509" s="507"/>
      <c r="C509" s="507"/>
      <c r="D509" s="507"/>
      <c r="E509" s="507"/>
      <c r="F509" s="507"/>
    </row>
    <row r="510" spans="2:6" ht="12.75">
      <c r="B510" s="507"/>
      <c r="C510" s="507"/>
      <c r="D510" s="507"/>
      <c r="E510" s="507"/>
      <c r="F510" s="507"/>
    </row>
    <row r="511" spans="2:6" ht="12.75">
      <c r="B511" s="507"/>
      <c r="C511" s="507"/>
      <c r="D511" s="507"/>
      <c r="E511" s="507"/>
      <c r="F511" s="507"/>
    </row>
    <row r="512" spans="2:6" ht="12.75">
      <c r="B512" s="507"/>
      <c r="C512" s="507"/>
      <c r="D512" s="507"/>
      <c r="E512" s="507"/>
      <c r="F512" s="507"/>
    </row>
    <row r="513" spans="2:6" ht="12.75">
      <c r="B513" s="507"/>
      <c r="C513" s="507"/>
      <c r="D513" s="507"/>
      <c r="E513" s="507"/>
      <c r="F513" s="507"/>
    </row>
    <row r="514" spans="2:6" ht="12.75">
      <c r="B514" s="507"/>
      <c r="C514" s="507"/>
      <c r="D514" s="507"/>
      <c r="E514" s="507"/>
      <c r="F514" s="507"/>
    </row>
    <row r="515" spans="2:6" ht="12.75">
      <c r="B515" s="507"/>
      <c r="C515" s="507"/>
      <c r="D515" s="507"/>
      <c r="E515" s="507"/>
      <c r="F515" s="507"/>
    </row>
    <row r="516" spans="2:6" ht="12.75">
      <c r="B516" s="507"/>
      <c r="C516" s="507"/>
      <c r="D516" s="507"/>
      <c r="E516" s="507"/>
      <c r="F516" s="507"/>
    </row>
    <row r="517" spans="2:6" ht="12.75">
      <c r="B517" s="507"/>
      <c r="C517" s="507"/>
      <c r="D517" s="507"/>
      <c r="E517" s="507"/>
      <c r="F517" s="507"/>
    </row>
    <row r="518" spans="2:6" ht="12.75">
      <c r="B518" s="507"/>
      <c r="C518" s="507"/>
      <c r="D518" s="507"/>
      <c r="E518" s="507"/>
      <c r="F518" s="507"/>
    </row>
    <row r="519" spans="2:6" ht="12.75">
      <c r="B519" s="507"/>
      <c r="C519" s="507"/>
      <c r="D519" s="507"/>
      <c r="E519" s="507"/>
      <c r="F519" s="507"/>
    </row>
    <row r="520" spans="2:6" ht="12.75">
      <c r="B520" s="507"/>
      <c r="C520" s="507"/>
      <c r="D520" s="507"/>
      <c r="E520" s="507"/>
      <c r="F520" s="507"/>
    </row>
    <row r="521" spans="2:6" ht="12.75">
      <c r="B521" s="507"/>
      <c r="C521" s="507"/>
      <c r="D521" s="507"/>
      <c r="E521" s="507"/>
      <c r="F521" s="507"/>
    </row>
    <row r="522" spans="2:6" ht="12.75">
      <c r="B522" s="507"/>
      <c r="C522" s="507"/>
      <c r="D522" s="507"/>
      <c r="E522" s="507"/>
      <c r="F522" s="507"/>
    </row>
    <row r="523" spans="2:6" ht="12.75">
      <c r="B523" s="507"/>
      <c r="C523" s="507"/>
      <c r="D523" s="507"/>
      <c r="E523" s="507"/>
      <c r="F523" s="507"/>
    </row>
    <row r="524" spans="2:6" ht="12.75">
      <c r="B524" s="507"/>
      <c r="C524" s="507"/>
      <c r="D524" s="507"/>
      <c r="E524" s="507"/>
      <c r="F524" s="507"/>
    </row>
    <row r="525" spans="2:6" ht="12.75">
      <c r="B525" s="507"/>
      <c r="C525" s="507"/>
      <c r="D525" s="507"/>
      <c r="E525" s="507"/>
      <c r="F525" s="507"/>
    </row>
    <row r="526" spans="2:6" ht="12.75">
      <c r="B526" s="507"/>
      <c r="C526" s="507"/>
      <c r="D526" s="507"/>
      <c r="E526" s="507"/>
      <c r="F526" s="507"/>
    </row>
    <row r="527" spans="2:6" ht="12.75">
      <c r="B527" s="507"/>
      <c r="C527" s="507"/>
      <c r="D527" s="507"/>
      <c r="E527" s="507"/>
      <c r="F527" s="507"/>
    </row>
    <row r="528" spans="2:6" ht="12.75">
      <c r="B528" s="507"/>
      <c r="C528" s="507"/>
      <c r="D528" s="507"/>
      <c r="E528" s="507"/>
      <c r="F528" s="507"/>
    </row>
    <row r="529" spans="2:6" ht="12.75">
      <c r="B529" s="507"/>
      <c r="C529" s="507"/>
      <c r="D529" s="507"/>
      <c r="E529" s="507"/>
      <c r="F529" s="507"/>
    </row>
    <row r="530" spans="2:6" ht="12.75">
      <c r="B530" s="507"/>
      <c r="C530" s="507"/>
      <c r="D530" s="507"/>
      <c r="E530" s="507"/>
      <c r="F530" s="50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5.8515625" style="359" customWidth="1"/>
    <col min="2" max="3" width="10.57421875" style="359" customWidth="1"/>
    <col min="4" max="4" width="9.8515625" style="359" customWidth="1"/>
    <col min="5" max="5" width="9.28125" style="359" customWidth="1"/>
    <col min="6" max="6" width="73.7109375" style="359" customWidth="1"/>
    <col min="7" max="7" width="22.7109375" style="359" customWidth="1"/>
    <col min="8" max="8" width="22.00390625" style="359" customWidth="1"/>
    <col min="9" max="9" width="22.7109375" style="359" customWidth="1"/>
    <col min="10" max="10" width="13.8515625" style="359" customWidth="1"/>
    <col min="11" max="12" width="9.140625" style="359" customWidth="1"/>
    <col min="13" max="13" width="13.7109375" style="359" customWidth="1"/>
    <col min="14" max="16384" width="9.140625" style="359" customWidth="1"/>
  </cols>
  <sheetData>
    <row r="1" spans="7:8" ht="15">
      <c r="G1" s="360"/>
      <c r="H1" s="360"/>
    </row>
    <row r="3" spans="1:10" ht="22.5">
      <c r="A3" s="362" t="s">
        <v>496</v>
      </c>
      <c r="B3" s="363"/>
      <c r="C3" s="363"/>
      <c r="D3" s="363"/>
      <c r="E3" s="363"/>
      <c r="F3" s="363"/>
      <c r="G3" s="363"/>
      <c r="H3" s="363"/>
      <c r="I3" s="365"/>
      <c r="J3" s="365"/>
    </row>
    <row r="4" spans="1:9" ht="24.75" customHeight="1">
      <c r="A4" s="362" t="s">
        <v>278</v>
      </c>
      <c r="B4" s="362"/>
      <c r="C4" s="362"/>
      <c r="D4" s="362"/>
      <c r="E4" s="366"/>
      <c r="F4" s="366"/>
      <c r="G4" s="365"/>
      <c r="H4" s="365"/>
      <c r="I4" s="365"/>
    </row>
    <row r="5" spans="2:10" ht="15" thickBot="1">
      <c r="B5" s="368"/>
      <c r="C5" s="368"/>
      <c r="G5" s="369"/>
      <c r="H5" s="369"/>
      <c r="I5" s="360"/>
      <c r="J5" s="371" t="s">
        <v>243</v>
      </c>
    </row>
    <row r="6" spans="1:10" ht="24" customHeight="1">
      <c r="A6" s="372" t="s">
        <v>279</v>
      </c>
      <c r="B6" s="373" t="s">
        <v>280</v>
      </c>
      <c r="C6" s="374"/>
      <c r="D6" s="374"/>
      <c r="E6" s="375"/>
      <c r="F6" s="376" t="s">
        <v>281</v>
      </c>
      <c r="G6" s="376" t="s">
        <v>282</v>
      </c>
      <c r="H6" s="376" t="s">
        <v>283</v>
      </c>
      <c r="I6" s="376" t="s">
        <v>284</v>
      </c>
      <c r="J6" s="376" t="s">
        <v>285</v>
      </c>
    </row>
    <row r="7" spans="1:10" ht="17.25" customHeight="1">
      <c r="A7" s="378" t="s">
        <v>286</v>
      </c>
      <c r="B7" s="379" t="s">
        <v>287</v>
      </c>
      <c r="C7" s="380" t="s">
        <v>288</v>
      </c>
      <c r="D7" s="381" t="s">
        <v>289</v>
      </c>
      <c r="E7" s="382" t="s">
        <v>290</v>
      </c>
      <c r="F7" s="383"/>
      <c r="G7" s="384" t="s">
        <v>291</v>
      </c>
      <c r="H7" s="384" t="s">
        <v>292</v>
      </c>
      <c r="I7" s="384" t="s">
        <v>293</v>
      </c>
      <c r="J7" s="384" t="s">
        <v>294</v>
      </c>
    </row>
    <row r="8" spans="1:10" ht="13.5">
      <c r="A8" s="386" t="s">
        <v>295</v>
      </c>
      <c r="B8" s="387" t="s">
        <v>296</v>
      </c>
      <c r="C8" s="380"/>
      <c r="D8" s="380"/>
      <c r="E8" s="388" t="s">
        <v>297</v>
      </c>
      <c r="F8" s="389"/>
      <c r="G8" s="384" t="s">
        <v>298</v>
      </c>
      <c r="H8" s="384" t="s">
        <v>298</v>
      </c>
      <c r="I8" s="390"/>
      <c r="J8" s="391" t="s">
        <v>299</v>
      </c>
    </row>
    <row r="9" spans="1:10" ht="14.25" thickBot="1">
      <c r="A9" s="386" t="s">
        <v>300</v>
      </c>
      <c r="B9" s="392"/>
      <c r="C9" s="393"/>
      <c r="D9" s="393"/>
      <c r="E9" s="394"/>
      <c r="F9" s="395"/>
      <c r="G9" s="390"/>
      <c r="H9" s="509"/>
      <c r="I9" s="397"/>
      <c r="J9" s="398"/>
    </row>
    <row r="10" spans="1:10" ht="14.25" thickBot="1">
      <c r="A10" s="399" t="s">
        <v>0</v>
      </c>
      <c r="B10" s="400" t="s">
        <v>301</v>
      </c>
      <c r="C10" s="401" t="s">
        <v>302</v>
      </c>
      <c r="D10" s="401" t="s">
        <v>303</v>
      </c>
      <c r="E10" s="402" t="s">
        <v>304</v>
      </c>
      <c r="F10" s="402" t="s">
        <v>305</v>
      </c>
      <c r="G10" s="402">
        <v>1</v>
      </c>
      <c r="H10" s="402">
        <v>2</v>
      </c>
      <c r="I10" s="402">
        <v>3</v>
      </c>
      <c r="J10" s="402">
        <v>4</v>
      </c>
    </row>
    <row r="11" spans="1:10" ht="24.75" customHeight="1">
      <c r="A11" s="404" t="s">
        <v>306</v>
      </c>
      <c r="B11" s="405" t="s">
        <v>307</v>
      </c>
      <c r="C11" s="406"/>
      <c r="D11" s="407"/>
      <c r="E11" s="408"/>
      <c r="F11" s="409" t="s">
        <v>262</v>
      </c>
      <c r="G11" s="410">
        <f>SUM(G12+G20+G21+G74)</f>
        <v>52094203</v>
      </c>
      <c r="H11" s="410">
        <f>SUM(H12+H20+H21+H74)</f>
        <v>56021908</v>
      </c>
      <c r="I11" s="410">
        <f>SUM(I12+I20+I21+I74)</f>
        <v>55449602</v>
      </c>
      <c r="J11" s="412">
        <f aca="true" t="shared" si="0" ref="J11:J17">SUM($I11/H11)*100</f>
        <v>98.97842465486895</v>
      </c>
    </row>
    <row r="12" spans="1:10" ht="18.75" customHeight="1">
      <c r="A12" s="413" t="s">
        <v>306</v>
      </c>
      <c r="B12" s="414"/>
      <c r="C12" s="415" t="s">
        <v>308</v>
      </c>
      <c r="D12" s="415"/>
      <c r="E12" s="416"/>
      <c r="F12" s="417" t="s">
        <v>309</v>
      </c>
      <c r="G12" s="418">
        <f>SUM(G13+G14+G16+G17+G18+G19)</f>
        <v>18474516</v>
      </c>
      <c r="H12" s="418">
        <f>SUM(H13+H14+H16+H17+H18+H19)</f>
        <v>17962873</v>
      </c>
      <c r="I12" s="418">
        <f>SUM(I13+I14+I16+I17+I18+I19)</f>
        <v>17962770</v>
      </c>
      <c r="J12" s="420">
        <f t="shared" si="0"/>
        <v>99.99942659506638</v>
      </c>
    </row>
    <row r="13" spans="1:10" ht="18.75" customHeight="1">
      <c r="A13" s="421" t="s">
        <v>306</v>
      </c>
      <c r="B13" s="414"/>
      <c r="C13" s="415"/>
      <c r="D13" s="422" t="s">
        <v>310</v>
      </c>
      <c r="E13" s="423"/>
      <c r="F13" s="424" t="s">
        <v>311</v>
      </c>
      <c r="G13" s="425">
        <v>15501389</v>
      </c>
      <c r="H13" s="425">
        <v>15540588</v>
      </c>
      <c r="I13" s="425">
        <v>15540488</v>
      </c>
      <c r="J13" s="427">
        <f t="shared" si="0"/>
        <v>99.99935652370425</v>
      </c>
    </row>
    <row r="14" spans="1:10" ht="18.75" customHeight="1">
      <c r="A14" s="421" t="s">
        <v>306</v>
      </c>
      <c r="B14" s="414"/>
      <c r="C14" s="415"/>
      <c r="D14" s="422" t="s">
        <v>312</v>
      </c>
      <c r="E14" s="423"/>
      <c r="F14" s="424" t="s">
        <v>313</v>
      </c>
      <c r="G14" s="425">
        <f>SUM(G15:G15)</f>
        <v>115993</v>
      </c>
      <c r="H14" s="425">
        <f>SUM(H15:H15)</f>
        <v>128189</v>
      </c>
      <c r="I14" s="425">
        <f>SUM(I15:I15)</f>
        <v>128189</v>
      </c>
      <c r="J14" s="427">
        <f t="shared" si="0"/>
        <v>100</v>
      </c>
    </row>
    <row r="15" spans="1:10" ht="18.75" customHeight="1">
      <c r="A15" s="428" t="s">
        <v>306</v>
      </c>
      <c r="B15" s="429"/>
      <c r="C15" s="430"/>
      <c r="D15" s="431"/>
      <c r="E15" s="432" t="s">
        <v>314</v>
      </c>
      <c r="F15" s="433" t="s">
        <v>315</v>
      </c>
      <c r="G15" s="434">
        <v>115993</v>
      </c>
      <c r="H15" s="434">
        <v>128189</v>
      </c>
      <c r="I15" s="434">
        <v>128189</v>
      </c>
      <c r="J15" s="436">
        <f t="shared" si="0"/>
        <v>100</v>
      </c>
    </row>
    <row r="16" spans="1:10" ht="18.75" customHeight="1">
      <c r="A16" s="421" t="s">
        <v>306</v>
      </c>
      <c r="B16" s="414"/>
      <c r="C16" s="415"/>
      <c r="D16" s="422" t="s">
        <v>316</v>
      </c>
      <c r="E16" s="423"/>
      <c r="F16" s="424" t="s">
        <v>317</v>
      </c>
      <c r="G16" s="425">
        <v>3000</v>
      </c>
      <c r="H16" s="425">
        <v>2779</v>
      </c>
      <c r="I16" s="425">
        <v>2777</v>
      </c>
      <c r="J16" s="427">
        <f t="shared" si="0"/>
        <v>99.92803166606693</v>
      </c>
    </row>
    <row r="17" spans="1:10" ht="18.75" customHeight="1">
      <c r="A17" s="421" t="s">
        <v>306</v>
      </c>
      <c r="B17" s="414"/>
      <c r="C17" s="415"/>
      <c r="D17" s="422" t="s">
        <v>318</v>
      </c>
      <c r="E17" s="423"/>
      <c r="F17" s="424" t="s">
        <v>319</v>
      </c>
      <c r="G17" s="425">
        <v>2854134</v>
      </c>
      <c r="H17" s="425">
        <v>2291317</v>
      </c>
      <c r="I17" s="425">
        <v>2291316</v>
      </c>
      <c r="J17" s="427">
        <f t="shared" si="0"/>
        <v>99.99995635697722</v>
      </c>
    </row>
    <row r="18" spans="1:10" ht="18.75" customHeight="1" hidden="1">
      <c r="A18" s="421"/>
      <c r="B18" s="414"/>
      <c r="C18" s="415"/>
      <c r="D18" s="422" t="s">
        <v>320</v>
      </c>
      <c r="E18" s="423"/>
      <c r="F18" s="424" t="s">
        <v>321</v>
      </c>
      <c r="G18" s="425">
        <v>0</v>
      </c>
      <c r="H18" s="425">
        <v>0</v>
      </c>
      <c r="I18" s="425">
        <v>0</v>
      </c>
      <c r="J18" s="427">
        <v>0</v>
      </c>
    </row>
    <row r="19" spans="1:10" ht="18.75" customHeight="1" hidden="1">
      <c r="A19" s="421"/>
      <c r="B19" s="414"/>
      <c r="C19" s="415"/>
      <c r="D19" s="422" t="s">
        <v>322</v>
      </c>
      <c r="E19" s="423"/>
      <c r="F19" s="424" t="s">
        <v>323</v>
      </c>
      <c r="G19" s="425">
        <v>0</v>
      </c>
      <c r="H19" s="425">
        <v>0</v>
      </c>
      <c r="I19" s="425">
        <v>0</v>
      </c>
      <c r="J19" s="427">
        <v>0</v>
      </c>
    </row>
    <row r="20" spans="1:13" ht="18.75" customHeight="1">
      <c r="A20" s="413" t="s">
        <v>306</v>
      </c>
      <c r="B20" s="437"/>
      <c r="C20" s="438" t="s">
        <v>324</v>
      </c>
      <c r="D20" s="438"/>
      <c r="E20" s="439"/>
      <c r="F20" s="440" t="s">
        <v>325</v>
      </c>
      <c r="G20" s="441">
        <v>7233970</v>
      </c>
      <c r="H20" s="441">
        <v>7080717</v>
      </c>
      <c r="I20" s="442">
        <f>6937789+3387+9900+38</f>
        <v>6951114</v>
      </c>
      <c r="J20" s="420">
        <f>SUM($I20/H20)*100</f>
        <v>98.16963451582657</v>
      </c>
      <c r="M20" s="508"/>
    </row>
    <row r="21" spans="1:13" ht="18.75" customHeight="1">
      <c r="A21" s="413" t="s">
        <v>306</v>
      </c>
      <c r="B21" s="437"/>
      <c r="C21" s="451" t="s">
        <v>348</v>
      </c>
      <c r="D21" s="438"/>
      <c r="E21" s="452"/>
      <c r="F21" s="440" t="s">
        <v>349</v>
      </c>
      <c r="G21" s="453">
        <f>SUM(G22+G25+G30+G40+G52+G46+G55)</f>
        <v>25973667</v>
      </c>
      <c r="H21" s="453">
        <f>SUM(H22+H25+H30+H40+H52+H46+H55)</f>
        <v>30676033</v>
      </c>
      <c r="I21" s="453">
        <f>SUM(I22+I25+I30+I40+I52+I46+I55)</f>
        <v>30256347</v>
      </c>
      <c r="J21" s="420">
        <f>SUM($I21/H21)*100</f>
        <v>98.63187655326881</v>
      </c>
      <c r="M21" s="508"/>
    </row>
    <row r="22" spans="1:10" ht="18.75" customHeight="1">
      <c r="A22" s="421" t="s">
        <v>306</v>
      </c>
      <c r="B22" s="455"/>
      <c r="C22" s="456"/>
      <c r="D22" s="422" t="s">
        <v>350</v>
      </c>
      <c r="E22" s="457"/>
      <c r="F22" s="424" t="s">
        <v>351</v>
      </c>
      <c r="G22" s="458">
        <f>SUM(G23:G24)</f>
        <v>82720</v>
      </c>
      <c r="H22" s="458">
        <f>SUM(H23:H24)</f>
        <v>60220</v>
      </c>
      <c r="I22" s="458">
        <f>SUM(I23:I24)</f>
        <v>50831</v>
      </c>
      <c r="J22" s="427">
        <f>SUM($I22/H22)*100</f>
        <v>84.40883427432748</v>
      </c>
    </row>
    <row r="23" spans="1:10" ht="18.75" customHeight="1">
      <c r="A23" s="428" t="s">
        <v>306</v>
      </c>
      <c r="B23" s="455"/>
      <c r="C23" s="460"/>
      <c r="D23" s="461"/>
      <c r="E23" s="462">
        <v>631001</v>
      </c>
      <c r="F23" s="463" t="s">
        <v>352</v>
      </c>
      <c r="G23" s="464">
        <v>52720</v>
      </c>
      <c r="H23" s="464">
        <v>42720</v>
      </c>
      <c r="I23" s="464">
        <f>39024+295</f>
        <v>39319</v>
      </c>
      <c r="J23" s="436">
        <f>SUM($I23/H23)*100</f>
        <v>92.03885767790261</v>
      </c>
    </row>
    <row r="24" spans="1:10" ht="18.75" customHeight="1">
      <c r="A24" s="428" t="s">
        <v>306</v>
      </c>
      <c r="B24" s="455"/>
      <c r="C24" s="460"/>
      <c r="D24" s="461"/>
      <c r="E24" s="462">
        <v>631002</v>
      </c>
      <c r="F24" s="463" t="s">
        <v>353</v>
      </c>
      <c r="G24" s="464">
        <v>30000</v>
      </c>
      <c r="H24" s="464">
        <v>17500</v>
      </c>
      <c r="I24" s="464">
        <v>11512</v>
      </c>
      <c r="J24" s="436">
        <f>SUM($I24/H24)*100</f>
        <v>65.78285714285714</v>
      </c>
    </row>
    <row r="25" spans="1:10" ht="18.75" customHeight="1">
      <c r="A25" s="421" t="s">
        <v>306</v>
      </c>
      <c r="B25" s="455"/>
      <c r="C25" s="456"/>
      <c r="D25" s="422" t="s">
        <v>355</v>
      </c>
      <c r="E25" s="457"/>
      <c r="F25" s="424" t="s">
        <v>356</v>
      </c>
      <c r="G25" s="458">
        <f>SUM(G26:G29)</f>
        <v>9113905</v>
      </c>
      <c r="H25" s="458">
        <f>SUM(H26:H29)</f>
        <v>8472180</v>
      </c>
      <c r="I25" s="458">
        <f>SUM(I26:I29)</f>
        <v>8400387</v>
      </c>
      <c r="J25" s="427">
        <f aca="true" t="shared" si="1" ref="J25:J70">SUM($I25/H25)*100</f>
        <v>99.15260299002145</v>
      </c>
    </row>
    <row r="26" spans="1:13" ht="18.75" customHeight="1">
      <c r="A26" s="428" t="s">
        <v>306</v>
      </c>
      <c r="B26" s="455"/>
      <c r="C26" s="456"/>
      <c r="D26" s="466"/>
      <c r="E26" s="467">
        <v>632001</v>
      </c>
      <c r="F26" s="468" t="s">
        <v>357</v>
      </c>
      <c r="G26" s="464">
        <v>556915</v>
      </c>
      <c r="H26" s="464">
        <v>635272</v>
      </c>
      <c r="I26" s="464">
        <f>593823+4504</f>
        <v>598327</v>
      </c>
      <c r="J26" s="436">
        <f t="shared" si="1"/>
        <v>94.18438086363007</v>
      </c>
      <c r="M26" s="508"/>
    </row>
    <row r="27" spans="1:10" ht="18.75" customHeight="1">
      <c r="A27" s="428" t="s">
        <v>306</v>
      </c>
      <c r="B27" s="455"/>
      <c r="C27" s="456"/>
      <c r="D27" s="466"/>
      <c r="E27" s="467">
        <v>632002</v>
      </c>
      <c r="F27" s="468" t="s">
        <v>358</v>
      </c>
      <c r="G27" s="464">
        <v>63250</v>
      </c>
      <c r="H27" s="464">
        <v>74250</v>
      </c>
      <c r="I27" s="464">
        <f>59119+767</f>
        <v>59886</v>
      </c>
      <c r="J27" s="436">
        <f t="shared" si="1"/>
        <v>80.65454545454546</v>
      </c>
    </row>
    <row r="28" spans="1:13" ht="18.75" customHeight="1">
      <c r="A28" s="428" t="s">
        <v>306</v>
      </c>
      <c r="B28" s="455"/>
      <c r="C28" s="456"/>
      <c r="D28" s="466"/>
      <c r="E28" s="467">
        <v>632003</v>
      </c>
      <c r="F28" s="469" t="s">
        <v>359</v>
      </c>
      <c r="G28" s="464">
        <v>6714740</v>
      </c>
      <c r="H28" s="464">
        <v>6009534</v>
      </c>
      <c r="I28" s="464">
        <f>5896048+93002</f>
        <v>5989050</v>
      </c>
      <c r="J28" s="436">
        <f t="shared" si="1"/>
        <v>99.65914162395953</v>
      </c>
      <c r="M28" s="508"/>
    </row>
    <row r="29" spans="1:10" ht="18.75" customHeight="1">
      <c r="A29" s="428" t="s">
        <v>306</v>
      </c>
      <c r="B29" s="455"/>
      <c r="C29" s="456"/>
      <c r="D29" s="466"/>
      <c r="E29" s="467">
        <v>632004</v>
      </c>
      <c r="F29" s="469" t="s">
        <v>360</v>
      </c>
      <c r="G29" s="464">
        <v>1779000</v>
      </c>
      <c r="H29" s="464">
        <v>1753124</v>
      </c>
      <c r="I29" s="464">
        <f>1747599+5525</f>
        <v>1753124</v>
      </c>
      <c r="J29" s="436">
        <f t="shared" si="1"/>
        <v>100</v>
      </c>
    </row>
    <row r="30" spans="1:10" ht="18.75" customHeight="1">
      <c r="A30" s="421" t="s">
        <v>306</v>
      </c>
      <c r="B30" s="455"/>
      <c r="C30" s="456"/>
      <c r="D30" s="422" t="s">
        <v>361</v>
      </c>
      <c r="E30" s="457"/>
      <c r="F30" s="424" t="s">
        <v>362</v>
      </c>
      <c r="G30" s="458">
        <f>SUM(G31:G39)</f>
        <v>820849</v>
      </c>
      <c r="H30" s="458">
        <f>SUM(H31:H39)</f>
        <v>1571568</v>
      </c>
      <c r="I30" s="458">
        <f>SUM(I31:I39)</f>
        <v>1454731</v>
      </c>
      <c r="J30" s="427">
        <f t="shared" si="1"/>
        <v>92.56557781782271</v>
      </c>
    </row>
    <row r="31" spans="1:13" ht="18.75" customHeight="1">
      <c r="A31" s="428" t="s">
        <v>306</v>
      </c>
      <c r="B31" s="455"/>
      <c r="C31" s="456"/>
      <c r="D31" s="470"/>
      <c r="E31" s="471" t="s">
        <v>363</v>
      </c>
      <c r="F31" s="472" t="s">
        <v>364</v>
      </c>
      <c r="G31" s="447">
        <v>114005</v>
      </c>
      <c r="H31" s="447">
        <v>140605</v>
      </c>
      <c r="I31" s="447">
        <f>71406</f>
        <v>71406</v>
      </c>
      <c r="J31" s="436">
        <f t="shared" si="1"/>
        <v>50.78482273034387</v>
      </c>
      <c r="M31" s="508"/>
    </row>
    <row r="32" spans="1:10" ht="18.75" customHeight="1">
      <c r="A32" s="428" t="s">
        <v>306</v>
      </c>
      <c r="B32" s="455"/>
      <c r="C32" s="456"/>
      <c r="D32" s="470"/>
      <c r="E32" s="471" t="s">
        <v>365</v>
      </c>
      <c r="F32" s="472" t="s">
        <v>366</v>
      </c>
      <c r="G32" s="447">
        <v>20000</v>
      </c>
      <c r="H32" s="447">
        <v>27978</v>
      </c>
      <c r="I32" s="447">
        <v>27978</v>
      </c>
      <c r="J32" s="436">
        <f t="shared" si="1"/>
        <v>100</v>
      </c>
    </row>
    <row r="33" spans="1:10" ht="18.75" customHeight="1">
      <c r="A33" s="428" t="s">
        <v>306</v>
      </c>
      <c r="B33" s="455"/>
      <c r="C33" s="456"/>
      <c r="D33" s="470"/>
      <c r="E33" s="471" t="s">
        <v>367</v>
      </c>
      <c r="F33" s="472" t="s">
        <v>368</v>
      </c>
      <c r="G33" s="447">
        <v>700</v>
      </c>
      <c r="H33" s="447">
        <v>316</v>
      </c>
      <c r="I33" s="447">
        <v>315</v>
      </c>
      <c r="J33" s="436">
        <f t="shared" si="1"/>
        <v>99.68354430379746</v>
      </c>
    </row>
    <row r="34" spans="1:10" ht="18.75" customHeight="1">
      <c r="A34" s="428" t="s">
        <v>306</v>
      </c>
      <c r="B34" s="455"/>
      <c r="C34" s="456"/>
      <c r="D34" s="470"/>
      <c r="E34" s="471" t="s">
        <v>369</v>
      </c>
      <c r="F34" s="472" t="s">
        <v>370</v>
      </c>
      <c r="G34" s="447">
        <v>24069</v>
      </c>
      <c r="H34" s="447">
        <v>23569</v>
      </c>
      <c r="I34" s="447">
        <v>1731</v>
      </c>
      <c r="J34" s="436">
        <f t="shared" si="1"/>
        <v>7.344393058678773</v>
      </c>
    </row>
    <row r="35" spans="1:10" ht="18.75" customHeight="1">
      <c r="A35" s="428" t="s">
        <v>306</v>
      </c>
      <c r="B35" s="455"/>
      <c r="C35" s="456"/>
      <c r="D35" s="470"/>
      <c r="E35" s="471" t="s">
        <v>371</v>
      </c>
      <c r="F35" s="472" t="s">
        <v>372</v>
      </c>
      <c r="G35" s="447">
        <v>612200</v>
      </c>
      <c r="H35" s="447">
        <v>623962</v>
      </c>
      <c r="I35" s="447">
        <f>608290+5982</f>
        <v>614272</v>
      </c>
      <c r="J35" s="436">
        <f t="shared" si="1"/>
        <v>98.44702081216484</v>
      </c>
    </row>
    <row r="36" spans="1:10" ht="18.75" customHeight="1">
      <c r="A36" s="428" t="s">
        <v>306</v>
      </c>
      <c r="B36" s="455"/>
      <c r="C36" s="456"/>
      <c r="D36" s="470"/>
      <c r="E36" s="471" t="s">
        <v>373</v>
      </c>
      <c r="F36" s="472" t="s">
        <v>374</v>
      </c>
      <c r="G36" s="447">
        <v>15150</v>
      </c>
      <c r="H36" s="447">
        <v>15150</v>
      </c>
      <c r="I36" s="447">
        <f>1306+6396</f>
        <v>7702</v>
      </c>
      <c r="J36" s="436">
        <f t="shared" si="1"/>
        <v>50.838283828382835</v>
      </c>
    </row>
    <row r="37" spans="1:10" ht="18.75" customHeight="1">
      <c r="A37" s="428" t="s">
        <v>306</v>
      </c>
      <c r="B37" s="455"/>
      <c r="C37" s="456"/>
      <c r="D37" s="470"/>
      <c r="E37" s="471" t="s">
        <v>375</v>
      </c>
      <c r="F37" s="472" t="s">
        <v>376</v>
      </c>
      <c r="G37" s="447">
        <v>6225</v>
      </c>
      <c r="H37" s="447">
        <v>13105</v>
      </c>
      <c r="I37" s="447">
        <v>12029</v>
      </c>
      <c r="J37" s="436">
        <f t="shared" si="1"/>
        <v>91.78939336131248</v>
      </c>
    </row>
    <row r="38" spans="1:10" ht="18.75" customHeight="1">
      <c r="A38" s="428" t="s">
        <v>306</v>
      </c>
      <c r="B38" s="455"/>
      <c r="C38" s="456"/>
      <c r="D38" s="470"/>
      <c r="E38" s="471" t="s">
        <v>377</v>
      </c>
      <c r="F38" s="472" t="s">
        <v>378</v>
      </c>
      <c r="G38" s="447">
        <v>8000</v>
      </c>
      <c r="H38" s="447">
        <v>706383</v>
      </c>
      <c r="I38" s="447">
        <v>706382</v>
      </c>
      <c r="J38" s="436">
        <f t="shared" si="1"/>
        <v>99.9998584337392</v>
      </c>
    </row>
    <row r="39" spans="1:10" ht="18.75" customHeight="1">
      <c r="A39" s="428" t="s">
        <v>306</v>
      </c>
      <c r="B39" s="455"/>
      <c r="C39" s="456"/>
      <c r="D39" s="470"/>
      <c r="E39" s="471" t="s">
        <v>379</v>
      </c>
      <c r="F39" s="472" t="s">
        <v>380</v>
      </c>
      <c r="G39" s="447">
        <v>20500</v>
      </c>
      <c r="H39" s="447">
        <v>20500</v>
      </c>
      <c r="I39" s="447">
        <f>12716+200</f>
        <v>12916</v>
      </c>
      <c r="J39" s="436">
        <f t="shared" si="1"/>
        <v>63.00487804878049</v>
      </c>
    </row>
    <row r="40" spans="1:10" ht="18.75" customHeight="1">
      <c r="A40" s="421" t="s">
        <v>306</v>
      </c>
      <c r="B40" s="455"/>
      <c r="C40" s="456"/>
      <c r="D40" s="422" t="s">
        <v>381</v>
      </c>
      <c r="E40" s="457"/>
      <c r="F40" s="424" t="s">
        <v>382</v>
      </c>
      <c r="G40" s="458">
        <f>SUM(G41:G45)</f>
        <v>119076</v>
      </c>
      <c r="H40" s="458">
        <f>SUM(H41:H45)</f>
        <v>158590</v>
      </c>
      <c r="I40" s="458">
        <f>SUM(I41:I45)</f>
        <v>128650</v>
      </c>
      <c r="J40" s="427">
        <f t="shared" si="1"/>
        <v>81.12112995775269</v>
      </c>
    </row>
    <row r="41" spans="1:10" ht="18.75" customHeight="1">
      <c r="A41" s="428" t="s">
        <v>306</v>
      </c>
      <c r="B41" s="455"/>
      <c r="C41" s="456"/>
      <c r="D41" s="466"/>
      <c r="E41" s="467">
        <v>634001</v>
      </c>
      <c r="F41" s="474" t="s">
        <v>383</v>
      </c>
      <c r="G41" s="464">
        <v>69550</v>
      </c>
      <c r="H41" s="464">
        <v>78150</v>
      </c>
      <c r="I41" s="464">
        <v>61337</v>
      </c>
      <c r="J41" s="436">
        <f t="shared" si="1"/>
        <v>78.48624440179142</v>
      </c>
    </row>
    <row r="42" spans="1:10" ht="18.75" customHeight="1">
      <c r="A42" s="428" t="s">
        <v>306</v>
      </c>
      <c r="B42" s="455"/>
      <c r="C42" s="456"/>
      <c r="D42" s="466"/>
      <c r="E42" s="467">
        <v>634002</v>
      </c>
      <c r="F42" s="474" t="s">
        <v>384</v>
      </c>
      <c r="G42" s="464">
        <v>29031</v>
      </c>
      <c r="H42" s="464">
        <v>34986</v>
      </c>
      <c r="I42" s="464">
        <v>30593</v>
      </c>
      <c r="J42" s="436">
        <f t="shared" si="1"/>
        <v>87.44354884811068</v>
      </c>
    </row>
    <row r="43" spans="1:10" ht="18.75" customHeight="1">
      <c r="A43" s="428" t="s">
        <v>306</v>
      </c>
      <c r="B43" s="455"/>
      <c r="C43" s="456"/>
      <c r="D43" s="475"/>
      <c r="E43" s="476" t="s">
        <v>385</v>
      </c>
      <c r="F43" s="472" t="s">
        <v>386</v>
      </c>
      <c r="G43" s="464">
        <v>3795</v>
      </c>
      <c r="H43" s="464">
        <v>15805</v>
      </c>
      <c r="I43" s="464">
        <v>7162</v>
      </c>
      <c r="J43" s="436">
        <f t="shared" si="1"/>
        <v>45.314773805757675</v>
      </c>
    </row>
    <row r="44" spans="1:10" ht="18.75" customHeight="1">
      <c r="A44" s="428" t="s">
        <v>306</v>
      </c>
      <c r="B44" s="455"/>
      <c r="C44" s="456"/>
      <c r="D44" s="475"/>
      <c r="E44" s="467">
        <v>634004</v>
      </c>
      <c r="F44" s="477" t="s">
        <v>387</v>
      </c>
      <c r="G44" s="464">
        <v>15000</v>
      </c>
      <c r="H44" s="464">
        <v>27804</v>
      </c>
      <c r="I44" s="464">
        <v>27803</v>
      </c>
      <c r="J44" s="436">
        <f t="shared" si="1"/>
        <v>99.99640339519493</v>
      </c>
    </row>
    <row r="45" spans="1:10" ht="18.75" customHeight="1">
      <c r="A45" s="428" t="s">
        <v>306</v>
      </c>
      <c r="B45" s="455"/>
      <c r="C45" s="456"/>
      <c r="D45" s="475"/>
      <c r="E45" s="467">
        <v>634005</v>
      </c>
      <c r="F45" s="477" t="s">
        <v>388</v>
      </c>
      <c r="G45" s="464">
        <v>1700</v>
      </c>
      <c r="H45" s="464">
        <v>1845</v>
      </c>
      <c r="I45" s="464">
        <v>1755</v>
      </c>
      <c r="J45" s="436">
        <f t="shared" si="1"/>
        <v>95.1219512195122</v>
      </c>
    </row>
    <row r="46" spans="1:10" ht="18.75" customHeight="1">
      <c r="A46" s="421" t="s">
        <v>306</v>
      </c>
      <c r="B46" s="455"/>
      <c r="C46" s="456"/>
      <c r="D46" s="422" t="s">
        <v>389</v>
      </c>
      <c r="E46" s="478"/>
      <c r="F46" s="424" t="s">
        <v>390</v>
      </c>
      <c r="G46" s="458">
        <f>SUM(G47:G51)</f>
        <v>10563757</v>
      </c>
      <c r="H46" s="458">
        <f>SUM(H47:H51)</f>
        <v>15476037</v>
      </c>
      <c r="I46" s="458">
        <f>SUM(I47:I51)</f>
        <v>15402822</v>
      </c>
      <c r="J46" s="427">
        <f t="shared" si="1"/>
        <v>99.5269137699787</v>
      </c>
    </row>
    <row r="47" spans="1:10" ht="18.75" customHeight="1">
      <c r="A47" s="428" t="s">
        <v>306</v>
      </c>
      <c r="B47" s="455"/>
      <c r="C47" s="456"/>
      <c r="D47" s="466"/>
      <c r="E47" s="467">
        <v>635001</v>
      </c>
      <c r="F47" s="477" t="s">
        <v>391</v>
      </c>
      <c r="G47" s="464">
        <v>25500</v>
      </c>
      <c r="H47" s="464">
        <v>34096</v>
      </c>
      <c r="I47" s="464">
        <v>8584</v>
      </c>
      <c r="J47" s="479">
        <f t="shared" si="1"/>
        <v>25.175973721257627</v>
      </c>
    </row>
    <row r="48" spans="1:10" ht="18.75" customHeight="1">
      <c r="A48" s="428" t="s">
        <v>306</v>
      </c>
      <c r="B48" s="455"/>
      <c r="C48" s="456"/>
      <c r="D48" s="466"/>
      <c r="E48" s="467">
        <v>635002</v>
      </c>
      <c r="F48" s="477" t="s">
        <v>392</v>
      </c>
      <c r="G48" s="464">
        <v>10393520</v>
      </c>
      <c r="H48" s="464">
        <v>15250615</v>
      </c>
      <c r="I48" s="464">
        <f>14912942+337672</f>
        <v>15250614</v>
      </c>
      <c r="J48" s="479">
        <f t="shared" si="1"/>
        <v>99.99999344288739</v>
      </c>
    </row>
    <row r="49" spans="1:10" ht="18.75" customHeight="1">
      <c r="A49" s="428" t="s">
        <v>306</v>
      </c>
      <c r="B49" s="455"/>
      <c r="C49" s="456"/>
      <c r="D49" s="466"/>
      <c r="E49" s="467">
        <v>635003</v>
      </c>
      <c r="F49" s="477" t="s">
        <v>393</v>
      </c>
      <c r="G49" s="464">
        <v>3000</v>
      </c>
      <c r="H49" s="464">
        <v>1359</v>
      </c>
      <c r="I49" s="464">
        <v>1359</v>
      </c>
      <c r="J49" s="479">
        <f t="shared" si="1"/>
        <v>100</v>
      </c>
    </row>
    <row r="50" spans="1:10" ht="18.75" customHeight="1">
      <c r="A50" s="428" t="s">
        <v>306</v>
      </c>
      <c r="B50" s="455"/>
      <c r="C50" s="456"/>
      <c r="D50" s="466"/>
      <c r="E50" s="467">
        <v>635004</v>
      </c>
      <c r="F50" s="477" t="s">
        <v>394</v>
      </c>
      <c r="G50" s="464">
        <v>49700</v>
      </c>
      <c r="H50" s="464">
        <v>78310</v>
      </c>
      <c r="I50" s="464">
        <v>66806</v>
      </c>
      <c r="J50" s="479">
        <f t="shared" si="1"/>
        <v>85.30966670923253</v>
      </c>
    </row>
    <row r="51" spans="1:13" ht="18.75" customHeight="1">
      <c r="A51" s="428" t="s">
        <v>306</v>
      </c>
      <c r="B51" s="455"/>
      <c r="C51" s="456"/>
      <c r="D51" s="466"/>
      <c r="E51" s="467">
        <v>635006</v>
      </c>
      <c r="F51" s="474" t="s">
        <v>395</v>
      </c>
      <c r="G51" s="464">
        <v>92037</v>
      </c>
      <c r="H51" s="464">
        <v>111657</v>
      </c>
      <c r="I51" s="464">
        <f>52547+22912</f>
        <v>75459</v>
      </c>
      <c r="J51" s="479">
        <f t="shared" si="1"/>
        <v>67.58107418254117</v>
      </c>
      <c r="M51" s="508"/>
    </row>
    <row r="52" spans="1:10" ht="18.75" customHeight="1">
      <c r="A52" s="421" t="s">
        <v>306</v>
      </c>
      <c r="B52" s="455"/>
      <c r="C52" s="456"/>
      <c r="D52" s="422" t="s">
        <v>396</v>
      </c>
      <c r="E52" s="457"/>
      <c r="F52" s="424" t="s">
        <v>397</v>
      </c>
      <c r="G52" s="458">
        <f>SUM(G53:G54)</f>
        <v>546127</v>
      </c>
      <c r="H52" s="458">
        <f>SUM(H53:H54)</f>
        <v>646627</v>
      </c>
      <c r="I52" s="458">
        <f>SUM(I53:I54)</f>
        <v>645564</v>
      </c>
      <c r="J52" s="427">
        <f t="shared" si="1"/>
        <v>99.83560847289085</v>
      </c>
    </row>
    <row r="53" spans="1:10" ht="18.75" customHeight="1">
      <c r="A53" s="428" t="s">
        <v>306</v>
      </c>
      <c r="B53" s="455"/>
      <c r="C53" s="456"/>
      <c r="D53" s="480"/>
      <c r="E53" s="467">
        <v>636001</v>
      </c>
      <c r="F53" s="481" t="s">
        <v>398</v>
      </c>
      <c r="G53" s="464">
        <v>544127</v>
      </c>
      <c r="H53" s="464">
        <v>644127</v>
      </c>
      <c r="I53" s="464">
        <f>547243+96000</f>
        <v>643243</v>
      </c>
      <c r="J53" s="436">
        <f t="shared" si="1"/>
        <v>99.86275998366781</v>
      </c>
    </row>
    <row r="54" spans="1:10" ht="18" customHeight="1">
      <c r="A54" s="428" t="s">
        <v>306</v>
      </c>
      <c r="B54" s="455"/>
      <c r="C54" s="456"/>
      <c r="D54" s="480"/>
      <c r="E54" s="467">
        <v>636002</v>
      </c>
      <c r="F54" s="481" t="s">
        <v>399</v>
      </c>
      <c r="G54" s="464">
        <v>2000</v>
      </c>
      <c r="H54" s="464">
        <v>2500</v>
      </c>
      <c r="I54" s="464">
        <v>2321</v>
      </c>
      <c r="J54" s="436">
        <f t="shared" si="1"/>
        <v>92.84</v>
      </c>
    </row>
    <row r="55" spans="1:10" ht="18.75" customHeight="1">
      <c r="A55" s="421" t="s">
        <v>306</v>
      </c>
      <c r="B55" s="455"/>
      <c r="C55" s="456"/>
      <c r="D55" s="422" t="s">
        <v>401</v>
      </c>
      <c r="E55" s="457"/>
      <c r="F55" s="424" t="s">
        <v>402</v>
      </c>
      <c r="G55" s="458">
        <f>SUM(G56:G73)</f>
        <v>4727233</v>
      </c>
      <c r="H55" s="458">
        <f>SUM(H56:H73)</f>
        <v>4290811</v>
      </c>
      <c r="I55" s="458">
        <f>SUM(I56:I73)</f>
        <v>4173362</v>
      </c>
      <c r="J55" s="427">
        <f t="shared" si="1"/>
        <v>97.26277852834814</v>
      </c>
    </row>
    <row r="56" spans="1:10" ht="18.75" customHeight="1">
      <c r="A56" s="428" t="s">
        <v>306</v>
      </c>
      <c r="B56" s="455"/>
      <c r="C56" s="456"/>
      <c r="D56" s="470"/>
      <c r="E56" s="471" t="s">
        <v>403</v>
      </c>
      <c r="F56" s="472" t="s">
        <v>404</v>
      </c>
      <c r="G56" s="464">
        <v>60080</v>
      </c>
      <c r="H56" s="464">
        <v>15080</v>
      </c>
      <c r="I56" s="464">
        <f>13601+1396</f>
        <v>14997</v>
      </c>
      <c r="J56" s="479">
        <f t="shared" si="1"/>
        <v>99.44960212201592</v>
      </c>
    </row>
    <row r="57" spans="1:10" ht="18.75" customHeight="1">
      <c r="A57" s="428" t="s">
        <v>306</v>
      </c>
      <c r="B57" s="455"/>
      <c r="C57" s="456"/>
      <c r="D57" s="470"/>
      <c r="E57" s="471" t="s">
        <v>405</v>
      </c>
      <c r="F57" s="472" t="s">
        <v>406</v>
      </c>
      <c r="G57" s="464">
        <v>8250</v>
      </c>
      <c r="H57" s="464">
        <v>8250</v>
      </c>
      <c r="I57" s="464">
        <f>2947+1256</f>
        <v>4203</v>
      </c>
      <c r="J57" s="479">
        <f t="shared" si="1"/>
        <v>50.94545454545455</v>
      </c>
    </row>
    <row r="58" spans="1:13" ht="18.75" customHeight="1">
      <c r="A58" s="428" t="s">
        <v>306</v>
      </c>
      <c r="B58" s="455"/>
      <c r="C58" s="456"/>
      <c r="D58" s="470"/>
      <c r="E58" s="471" t="s">
        <v>407</v>
      </c>
      <c r="F58" s="472" t="s">
        <v>408</v>
      </c>
      <c r="G58" s="464">
        <v>650642</v>
      </c>
      <c r="H58" s="464">
        <v>711062</v>
      </c>
      <c r="I58" s="464">
        <f>630359+31729</f>
        <v>662088</v>
      </c>
      <c r="J58" s="479">
        <f t="shared" si="1"/>
        <v>93.11255558587015</v>
      </c>
      <c r="M58" s="508"/>
    </row>
    <row r="59" spans="1:10" ht="18.75" customHeight="1">
      <c r="A59" s="428" t="s">
        <v>306</v>
      </c>
      <c r="B59" s="455"/>
      <c r="C59" s="456"/>
      <c r="D59" s="470"/>
      <c r="E59" s="471" t="s">
        <v>409</v>
      </c>
      <c r="F59" s="472" t="s">
        <v>410</v>
      </c>
      <c r="G59" s="464">
        <v>288758</v>
      </c>
      <c r="H59" s="464">
        <v>263832</v>
      </c>
      <c r="I59" s="464">
        <f>259073+2990</f>
        <v>262063</v>
      </c>
      <c r="J59" s="479">
        <f t="shared" si="1"/>
        <v>99.32949755905273</v>
      </c>
    </row>
    <row r="60" spans="1:10" ht="18.75" customHeight="1">
      <c r="A60" s="428" t="s">
        <v>306</v>
      </c>
      <c r="B60" s="455"/>
      <c r="C60" s="456"/>
      <c r="D60" s="470"/>
      <c r="E60" s="471" t="s">
        <v>411</v>
      </c>
      <c r="F60" s="472" t="s">
        <v>351</v>
      </c>
      <c r="G60" s="464">
        <v>80</v>
      </c>
      <c r="H60" s="464">
        <v>280</v>
      </c>
      <c r="I60" s="464">
        <v>80</v>
      </c>
      <c r="J60" s="479">
        <f t="shared" si="1"/>
        <v>28.57142857142857</v>
      </c>
    </row>
    <row r="61" spans="1:10" s="496" customFormat="1" ht="18" customHeight="1">
      <c r="A61" s="491" t="s">
        <v>306</v>
      </c>
      <c r="B61" s="492"/>
      <c r="C61" s="456"/>
      <c r="D61" s="493"/>
      <c r="E61" s="494" t="s">
        <v>412</v>
      </c>
      <c r="F61" s="495" t="s">
        <v>413</v>
      </c>
      <c r="G61" s="464">
        <v>12100</v>
      </c>
      <c r="H61" s="464">
        <v>12100</v>
      </c>
      <c r="I61" s="464">
        <v>12061</v>
      </c>
      <c r="J61" s="479">
        <f t="shared" si="1"/>
        <v>99.67768595041322</v>
      </c>
    </row>
    <row r="62" spans="1:10" ht="18.75" customHeight="1">
      <c r="A62" s="428" t="s">
        <v>306</v>
      </c>
      <c r="B62" s="455"/>
      <c r="C62" s="456"/>
      <c r="D62" s="470"/>
      <c r="E62" s="471" t="s">
        <v>414</v>
      </c>
      <c r="F62" s="472" t="s">
        <v>415</v>
      </c>
      <c r="G62" s="464">
        <v>1800</v>
      </c>
      <c r="H62" s="464">
        <v>6500</v>
      </c>
      <c r="I62" s="464">
        <v>4738</v>
      </c>
      <c r="J62" s="479">
        <f t="shared" si="1"/>
        <v>72.8923076923077</v>
      </c>
    </row>
    <row r="63" spans="1:10" ht="18.75" customHeight="1">
      <c r="A63" s="428" t="s">
        <v>306</v>
      </c>
      <c r="B63" s="455"/>
      <c r="C63" s="456"/>
      <c r="D63" s="470"/>
      <c r="E63" s="471" t="s">
        <v>416</v>
      </c>
      <c r="F63" s="472" t="s">
        <v>417</v>
      </c>
      <c r="G63" s="464">
        <v>1100463</v>
      </c>
      <c r="H63" s="464">
        <v>1203334</v>
      </c>
      <c r="I63" s="464">
        <f>1167934+35145</f>
        <v>1203079</v>
      </c>
      <c r="J63" s="479">
        <f t="shared" si="1"/>
        <v>99.97880887600617</v>
      </c>
    </row>
    <row r="64" spans="1:10" ht="18.75" customHeight="1">
      <c r="A64" s="428" t="s">
        <v>306</v>
      </c>
      <c r="B64" s="455"/>
      <c r="C64" s="456"/>
      <c r="D64" s="470"/>
      <c r="E64" s="471" t="s">
        <v>418</v>
      </c>
      <c r="F64" s="472" t="s">
        <v>419</v>
      </c>
      <c r="G64" s="464">
        <v>442305</v>
      </c>
      <c r="H64" s="464">
        <v>400305</v>
      </c>
      <c r="I64" s="464">
        <f>377212+23093</f>
        <v>400305</v>
      </c>
      <c r="J64" s="479">
        <f t="shared" si="1"/>
        <v>100</v>
      </c>
    </row>
    <row r="65" spans="1:10" ht="18.75" customHeight="1">
      <c r="A65" s="428" t="s">
        <v>306</v>
      </c>
      <c r="B65" s="455"/>
      <c r="C65" s="456"/>
      <c r="D65" s="470"/>
      <c r="E65" s="471" t="s">
        <v>420</v>
      </c>
      <c r="F65" s="472" t="s">
        <v>421</v>
      </c>
      <c r="G65" s="464">
        <v>13000</v>
      </c>
      <c r="H65" s="464">
        <v>13000</v>
      </c>
      <c r="I65" s="464">
        <f>7642+938</f>
        <v>8580</v>
      </c>
      <c r="J65" s="479">
        <f t="shared" si="1"/>
        <v>66</v>
      </c>
    </row>
    <row r="66" spans="1:10" ht="18.75" customHeight="1">
      <c r="A66" s="428" t="s">
        <v>306</v>
      </c>
      <c r="B66" s="455"/>
      <c r="C66" s="456"/>
      <c r="D66" s="470"/>
      <c r="E66" s="471" t="s">
        <v>422</v>
      </c>
      <c r="F66" s="472" t="s">
        <v>423</v>
      </c>
      <c r="G66" s="464">
        <v>240169</v>
      </c>
      <c r="H66" s="464">
        <v>244693</v>
      </c>
      <c r="I66" s="465">
        <v>217534</v>
      </c>
      <c r="J66" s="479">
        <f t="shared" si="1"/>
        <v>88.90078588271835</v>
      </c>
    </row>
    <row r="67" spans="1:10" ht="18.75" customHeight="1">
      <c r="A67" s="428" t="s">
        <v>306</v>
      </c>
      <c r="B67" s="455"/>
      <c r="C67" s="456"/>
      <c r="D67" s="470"/>
      <c r="E67" s="471" t="s">
        <v>424</v>
      </c>
      <c r="F67" s="472" t="s">
        <v>425</v>
      </c>
      <c r="G67" s="464">
        <v>5300</v>
      </c>
      <c r="H67" s="464">
        <v>8300</v>
      </c>
      <c r="I67" s="464">
        <v>7657</v>
      </c>
      <c r="J67" s="479">
        <f t="shared" si="1"/>
        <v>92.25301204819277</v>
      </c>
    </row>
    <row r="68" spans="1:10" ht="18.75" customHeight="1">
      <c r="A68" s="428" t="s">
        <v>306</v>
      </c>
      <c r="B68" s="455"/>
      <c r="C68" s="456"/>
      <c r="D68" s="470"/>
      <c r="E68" s="471" t="s">
        <v>426</v>
      </c>
      <c r="F68" s="472" t="s">
        <v>427</v>
      </c>
      <c r="G68" s="464">
        <v>87790</v>
      </c>
      <c r="H68" s="464">
        <v>89790</v>
      </c>
      <c r="I68" s="464">
        <v>87526</v>
      </c>
      <c r="J68" s="479">
        <f t="shared" si="1"/>
        <v>97.47856108698073</v>
      </c>
    </row>
    <row r="69" spans="1:10" ht="18.75" customHeight="1">
      <c r="A69" s="428" t="s">
        <v>306</v>
      </c>
      <c r="B69" s="455"/>
      <c r="C69" s="456"/>
      <c r="D69" s="470"/>
      <c r="E69" s="471" t="s">
        <v>428</v>
      </c>
      <c r="F69" s="472" t="s">
        <v>429</v>
      </c>
      <c r="G69" s="464">
        <v>55000</v>
      </c>
      <c r="H69" s="464">
        <v>45000</v>
      </c>
      <c r="I69" s="464">
        <v>34530</v>
      </c>
      <c r="J69" s="479">
        <f t="shared" si="1"/>
        <v>76.73333333333333</v>
      </c>
    </row>
    <row r="70" spans="1:10" ht="18.75" customHeight="1">
      <c r="A70" s="428" t="s">
        <v>430</v>
      </c>
      <c r="B70" s="455"/>
      <c r="C70" s="456"/>
      <c r="D70" s="470"/>
      <c r="E70" s="471" t="s">
        <v>431</v>
      </c>
      <c r="F70" s="472" t="s">
        <v>432</v>
      </c>
      <c r="G70" s="464">
        <v>0</v>
      </c>
      <c r="H70" s="464">
        <v>255</v>
      </c>
      <c r="I70" s="464">
        <v>253</v>
      </c>
      <c r="J70" s="479">
        <f t="shared" si="1"/>
        <v>99.2156862745098</v>
      </c>
    </row>
    <row r="71" spans="1:10" ht="18.75" customHeight="1">
      <c r="A71" s="428" t="s">
        <v>306</v>
      </c>
      <c r="B71" s="455"/>
      <c r="C71" s="456"/>
      <c r="D71" s="470"/>
      <c r="E71" s="471" t="s">
        <v>433</v>
      </c>
      <c r="F71" s="472" t="s">
        <v>434</v>
      </c>
      <c r="G71" s="464">
        <v>50000</v>
      </c>
      <c r="H71" s="464">
        <v>98000</v>
      </c>
      <c r="I71" s="464">
        <v>97024</v>
      </c>
      <c r="J71" s="479">
        <f aca="true" t="shared" si="2" ref="J71:J81">SUM($I71/H71)*100</f>
        <v>99.00408163265307</v>
      </c>
    </row>
    <row r="72" spans="1:13" ht="18.75" customHeight="1">
      <c r="A72" s="428" t="s">
        <v>306</v>
      </c>
      <c r="B72" s="455"/>
      <c r="C72" s="456"/>
      <c r="D72" s="470"/>
      <c r="E72" s="471" t="s">
        <v>435</v>
      </c>
      <c r="F72" s="472" t="s">
        <v>436</v>
      </c>
      <c r="G72" s="464">
        <v>1670000</v>
      </c>
      <c r="H72" s="464">
        <v>1129534</v>
      </c>
      <c r="I72" s="464">
        <v>1117815</v>
      </c>
      <c r="J72" s="479">
        <f t="shared" si="2"/>
        <v>98.96249249690581</v>
      </c>
      <c r="M72" s="508"/>
    </row>
    <row r="73" spans="1:10" ht="18.75" customHeight="1">
      <c r="A73" s="428" t="s">
        <v>306</v>
      </c>
      <c r="B73" s="455"/>
      <c r="C73" s="456"/>
      <c r="D73" s="470"/>
      <c r="E73" s="471" t="s">
        <v>437</v>
      </c>
      <c r="F73" s="472" t="s">
        <v>438</v>
      </c>
      <c r="G73" s="464">
        <v>41496</v>
      </c>
      <c r="H73" s="464">
        <v>41496</v>
      </c>
      <c r="I73" s="464">
        <v>38829</v>
      </c>
      <c r="J73" s="479">
        <f t="shared" si="2"/>
        <v>93.57287449392713</v>
      </c>
    </row>
    <row r="74" spans="1:13" ht="18.75" customHeight="1">
      <c r="A74" s="413" t="s">
        <v>306</v>
      </c>
      <c r="B74" s="437"/>
      <c r="C74" s="451" t="s">
        <v>439</v>
      </c>
      <c r="D74" s="438"/>
      <c r="E74" s="452"/>
      <c r="F74" s="440" t="s">
        <v>440</v>
      </c>
      <c r="G74" s="497">
        <f>SUM(G75+G80)</f>
        <v>412050</v>
      </c>
      <c r="H74" s="497">
        <f>SUM(H75+H80)</f>
        <v>302285</v>
      </c>
      <c r="I74" s="497">
        <f>SUM(I75+I80)</f>
        <v>279371</v>
      </c>
      <c r="J74" s="420">
        <f t="shared" si="2"/>
        <v>92.419736341532</v>
      </c>
      <c r="M74" s="508"/>
    </row>
    <row r="75" spans="1:10" ht="18.75" customHeight="1">
      <c r="A75" s="421" t="s">
        <v>306</v>
      </c>
      <c r="B75" s="455"/>
      <c r="C75" s="456"/>
      <c r="D75" s="422" t="s">
        <v>441</v>
      </c>
      <c r="E75" s="457"/>
      <c r="F75" s="424" t="s">
        <v>442</v>
      </c>
      <c r="G75" s="458">
        <f>SUM(G76:G79)</f>
        <v>370050</v>
      </c>
      <c r="H75" s="458">
        <f>SUM(H76:H79)</f>
        <v>260285</v>
      </c>
      <c r="I75" s="458">
        <f>SUM(I76:I79)</f>
        <v>238572</v>
      </c>
      <c r="J75" s="427">
        <f t="shared" si="2"/>
        <v>91.65799027988551</v>
      </c>
    </row>
    <row r="76" spans="1:10" ht="18.75" customHeight="1">
      <c r="A76" s="428" t="s">
        <v>306</v>
      </c>
      <c r="B76" s="455"/>
      <c r="C76" s="456"/>
      <c r="D76" s="470"/>
      <c r="E76" s="471" t="s">
        <v>443</v>
      </c>
      <c r="F76" s="472" t="s">
        <v>444</v>
      </c>
      <c r="G76" s="464">
        <f>224050</f>
        <v>224050</v>
      </c>
      <c r="H76" s="464">
        <v>73285</v>
      </c>
      <c r="I76" s="465">
        <v>64358</v>
      </c>
      <c r="J76" s="436">
        <f t="shared" si="2"/>
        <v>87.81878965681926</v>
      </c>
    </row>
    <row r="77" spans="1:10" ht="18.75" customHeight="1">
      <c r="A77" s="428" t="s">
        <v>306</v>
      </c>
      <c r="B77" s="455"/>
      <c r="C77" s="456"/>
      <c r="D77" s="470"/>
      <c r="E77" s="471" t="s">
        <v>445</v>
      </c>
      <c r="F77" s="472" t="s">
        <v>446</v>
      </c>
      <c r="G77" s="464">
        <v>45000</v>
      </c>
      <c r="H77" s="464">
        <v>60000</v>
      </c>
      <c r="I77" s="465">
        <v>55192</v>
      </c>
      <c r="J77" s="436">
        <f t="shared" si="2"/>
        <v>91.98666666666668</v>
      </c>
    </row>
    <row r="78" spans="1:10" ht="18.75" customHeight="1">
      <c r="A78" s="428" t="s">
        <v>306</v>
      </c>
      <c r="B78" s="455"/>
      <c r="C78" s="456"/>
      <c r="D78" s="470"/>
      <c r="E78" s="471" t="s">
        <v>447</v>
      </c>
      <c r="F78" s="472" t="s">
        <v>448</v>
      </c>
      <c r="G78" s="464">
        <v>11000</v>
      </c>
      <c r="H78" s="464">
        <v>11000</v>
      </c>
      <c r="I78" s="465">
        <v>7084</v>
      </c>
      <c r="J78" s="436">
        <f t="shared" si="2"/>
        <v>64.4</v>
      </c>
    </row>
    <row r="79" spans="1:10" ht="18.75" customHeight="1">
      <c r="A79" s="428" t="s">
        <v>306</v>
      </c>
      <c r="B79" s="455"/>
      <c r="C79" s="456"/>
      <c r="D79" s="470"/>
      <c r="E79" s="471" t="s">
        <v>449</v>
      </c>
      <c r="F79" s="472" t="s">
        <v>450</v>
      </c>
      <c r="G79" s="464">
        <v>90000</v>
      </c>
      <c r="H79" s="464">
        <v>116000</v>
      </c>
      <c r="I79" s="465">
        <v>111938</v>
      </c>
      <c r="J79" s="436">
        <f t="shared" si="2"/>
        <v>96.49827586206897</v>
      </c>
    </row>
    <row r="80" spans="1:10" ht="18.75" customHeight="1">
      <c r="A80" s="421" t="s">
        <v>306</v>
      </c>
      <c r="B80" s="455"/>
      <c r="C80" s="456"/>
      <c r="D80" s="422" t="s">
        <v>453</v>
      </c>
      <c r="E80" s="471"/>
      <c r="F80" s="424" t="s">
        <v>454</v>
      </c>
      <c r="G80" s="458">
        <f>SUM(G81)</f>
        <v>42000</v>
      </c>
      <c r="H80" s="458">
        <f>SUM(H81)</f>
        <v>42000</v>
      </c>
      <c r="I80" s="458">
        <f>SUM(I81)</f>
        <v>40799</v>
      </c>
      <c r="J80" s="427">
        <f t="shared" si="2"/>
        <v>97.14047619047619</v>
      </c>
    </row>
    <row r="81" spans="1:10" ht="18.75" customHeight="1">
      <c r="A81" s="428" t="s">
        <v>306</v>
      </c>
      <c r="B81" s="455"/>
      <c r="C81" s="456"/>
      <c r="D81" s="470"/>
      <c r="E81" s="471" t="s">
        <v>455</v>
      </c>
      <c r="F81" s="472" t="s">
        <v>456</v>
      </c>
      <c r="G81" s="464">
        <v>42000</v>
      </c>
      <c r="H81" s="464">
        <v>42000</v>
      </c>
      <c r="I81" s="464">
        <f>40185+614</f>
        <v>40799</v>
      </c>
      <c r="J81" s="436">
        <f t="shared" si="2"/>
        <v>97.14047619047619</v>
      </c>
    </row>
    <row r="82" spans="1:10" ht="14.25" thickBot="1">
      <c r="A82" s="499"/>
      <c r="B82" s="500"/>
      <c r="C82" s="501"/>
      <c r="D82" s="501"/>
      <c r="E82" s="502"/>
      <c r="F82" s="503"/>
      <c r="G82" s="504"/>
      <c r="H82" s="504"/>
      <c r="I82" s="504"/>
      <c r="J82" s="506"/>
    </row>
    <row r="83" spans="2:6" ht="12.75">
      <c r="B83" s="507"/>
      <c r="C83" s="507"/>
      <c r="D83" s="507"/>
      <c r="E83" s="507"/>
      <c r="F83" s="507"/>
    </row>
    <row r="84" spans="2:9" ht="12.75">
      <c r="B84" s="507"/>
      <c r="C84" s="507"/>
      <c r="D84" s="507"/>
      <c r="E84" s="507"/>
      <c r="F84" s="507"/>
      <c r="I84" s="508"/>
    </row>
    <row r="85" spans="2:6" ht="12.75">
      <c r="B85" s="507"/>
      <c r="C85" s="507"/>
      <c r="D85" s="507"/>
      <c r="E85" s="507"/>
      <c r="F85" s="507"/>
    </row>
    <row r="86" spans="2:6" ht="12.75">
      <c r="B86" s="507"/>
      <c r="C86" s="507"/>
      <c r="D86" s="507"/>
      <c r="E86" s="507"/>
      <c r="F86" s="507"/>
    </row>
    <row r="87" spans="2:6" ht="12.75">
      <c r="B87" s="507"/>
      <c r="C87" s="507"/>
      <c r="D87" s="507"/>
      <c r="E87" s="507"/>
      <c r="F87" s="507"/>
    </row>
    <row r="88" spans="2:6" ht="12.75">
      <c r="B88" s="507"/>
      <c r="C88" s="507"/>
      <c r="D88" s="507"/>
      <c r="E88" s="507"/>
      <c r="F88" s="507"/>
    </row>
    <row r="89" spans="2:6" ht="12.75">
      <c r="B89" s="507"/>
      <c r="C89" s="507"/>
      <c r="D89" s="507"/>
      <c r="E89" s="507"/>
      <c r="F89" s="507"/>
    </row>
    <row r="90" spans="2:6" ht="12.75">
      <c r="B90" s="507"/>
      <c r="C90" s="507"/>
      <c r="D90" s="507"/>
      <c r="E90" s="507"/>
      <c r="F90" s="507"/>
    </row>
    <row r="91" spans="2:6" ht="12.75">
      <c r="B91" s="507"/>
      <c r="C91" s="507"/>
      <c r="D91" s="507"/>
      <c r="E91" s="507"/>
      <c r="F91" s="507"/>
    </row>
    <row r="92" spans="2:6" ht="12.75">
      <c r="B92" s="507"/>
      <c r="C92" s="507"/>
      <c r="D92" s="507"/>
      <c r="E92" s="507"/>
      <c r="F92" s="507"/>
    </row>
    <row r="93" spans="2:6" ht="12.75">
      <c r="B93" s="507"/>
      <c r="C93" s="507"/>
      <c r="D93" s="507"/>
      <c r="E93" s="507"/>
      <c r="F93" s="507"/>
    </row>
    <row r="94" spans="2:6" ht="12.75">
      <c r="B94" s="507"/>
      <c r="C94" s="507"/>
      <c r="D94" s="507"/>
      <c r="E94" s="507"/>
      <c r="F94" s="507"/>
    </row>
    <row r="95" spans="2:6" ht="12.75">
      <c r="B95" s="507"/>
      <c r="C95" s="507"/>
      <c r="D95" s="507"/>
      <c r="E95" s="507"/>
      <c r="F95" s="507"/>
    </row>
    <row r="96" spans="2:6" ht="12.75">
      <c r="B96" s="507"/>
      <c r="C96" s="507"/>
      <c r="D96" s="507"/>
      <c r="E96" s="507"/>
      <c r="F96" s="507"/>
    </row>
    <row r="97" spans="2:6" ht="12.75">
      <c r="B97" s="507"/>
      <c r="C97" s="507"/>
      <c r="D97" s="507"/>
      <c r="E97" s="507"/>
      <c r="F97" s="507"/>
    </row>
    <row r="98" spans="2:6" ht="12.75">
      <c r="B98" s="507"/>
      <c r="C98" s="507"/>
      <c r="D98" s="507"/>
      <c r="E98" s="507"/>
      <c r="F98" s="507"/>
    </row>
    <row r="99" spans="2:6" ht="12.75">
      <c r="B99" s="507"/>
      <c r="C99" s="507"/>
      <c r="D99" s="507"/>
      <c r="E99" s="507"/>
      <c r="F99" s="507"/>
    </row>
    <row r="100" spans="2:6" ht="12.75">
      <c r="B100" s="507"/>
      <c r="C100" s="507"/>
      <c r="D100" s="507"/>
      <c r="E100" s="507"/>
      <c r="F100" s="507"/>
    </row>
    <row r="101" spans="2:6" ht="12.75">
      <c r="B101" s="507"/>
      <c r="C101" s="507"/>
      <c r="D101" s="507"/>
      <c r="E101" s="507"/>
      <c r="F101" s="507"/>
    </row>
    <row r="102" spans="2:6" ht="12.75">
      <c r="B102" s="507"/>
      <c r="C102" s="507"/>
      <c r="D102" s="507"/>
      <c r="E102" s="507"/>
      <c r="F102" s="507"/>
    </row>
    <row r="103" spans="2:6" ht="12.75">
      <c r="B103" s="507"/>
      <c r="C103" s="507"/>
      <c r="D103" s="507"/>
      <c r="E103" s="507"/>
      <c r="F103" s="507"/>
    </row>
    <row r="104" spans="2:6" ht="12.75">
      <c r="B104" s="507"/>
      <c r="C104" s="507"/>
      <c r="D104" s="507"/>
      <c r="E104" s="507"/>
      <c r="F104" s="507"/>
    </row>
    <row r="105" spans="2:6" ht="12.75">
      <c r="B105" s="507"/>
      <c r="C105" s="507"/>
      <c r="D105" s="507"/>
      <c r="E105" s="507"/>
      <c r="F105" s="507"/>
    </row>
    <row r="106" spans="2:6" ht="12.75">
      <c r="B106" s="507"/>
      <c r="C106" s="507"/>
      <c r="D106" s="507"/>
      <c r="E106" s="507"/>
      <c r="F106" s="507"/>
    </row>
    <row r="107" spans="2:6" ht="12.75">
      <c r="B107" s="507"/>
      <c r="C107" s="507"/>
      <c r="D107" s="507"/>
      <c r="E107" s="507"/>
      <c r="F107" s="507"/>
    </row>
    <row r="108" spans="2:6" ht="12.75">
      <c r="B108" s="507"/>
      <c r="C108" s="507"/>
      <c r="D108" s="507"/>
      <c r="E108" s="507"/>
      <c r="F108" s="507"/>
    </row>
    <row r="109" spans="2:6" ht="12.75">
      <c r="B109" s="507"/>
      <c r="C109" s="507"/>
      <c r="D109" s="507"/>
      <c r="E109" s="507"/>
      <c r="F109" s="507"/>
    </row>
    <row r="110" spans="2:6" ht="12.75">
      <c r="B110" s="507"/>
      <c r="C110" s="507"/>
      <c r="D110" s="507"/>
      <c r="E110" s="507"/>
      <c r="F110" s="507"/>
    </row>
    <row r="111" spans="2:6" ht="12.75">
      <c r="B111" s="507"/>
      <c r="C111" s="507"/>
      <c r="D111" s="507"/>
      <c r="E111" s="507"/>
      <c r="F111" s="507"/>
    </row>
    <row r="112" spans="2:6" ht="12.75">
      <c r="B112" s="507"/>
      <c r="C112" s="507"/>
      <c r="D112" s="507"/>
      <c r="E112" s="507"/>
      <c r="F112" s="507"/>
    </row>
    <row r="113" spans="2:6" ht="12.75">
      <c r="B113" s="507"/>
      <c r="C113" s="507"/>
      <c r="D113" s="507"/>
      <c r="E113" s="507"/>
      <c r="F113" s="507"/>
    </row>
    <row r="114" spans="2:6" ht="12.75">
      <c r="B114" s="507"/>
      <c r="C114" s="507"/>
      <c r="D114" s="507"/>
      <c r="E114" s="507"/>
      <c r="F114" s="507"/>
    </row>
    <row r="115" spans="2:6" ht="12.75">
      <c r="B115" s="507"/>
      <c r="C115" s="507"/>
      <c r="D115" s="507"/>
      <c r="E115" s="507"/>
      <c r="F115" s="507"/>
    </row>
    <row r="116" spans="2:6" ht="12.75">
      <c r="B116" s="507"/>
      <c r="C116" s="507"/>
      <c r="D116" s="507"/>
      <c r="E116" s="507"/>
      <c r="F116" s="507"/>
    </row>
    <row r="117" spans="2:6" ht="12.75">
      <c r="B117" s="507"/>
      <c r="C117" s="507"/>
      <c r="D117" s="507"/>
      <c r="E117" s="507"/>
      <c r="F117" s="507"/>
    </row>
    <row r="118" spans="2:6" ht="12.75">
      <c r="B118" s="507"/>
      <c r="C118" s="507"/>
      <c r="D118" s="507"/>
      <c r="E118" s="507"/>
      <c r="F118" s="507"/>
    </row>
    <row r="119" spans="2:6" ht="12.75">
      <c r="B119" s="507"/>
      <c r="C119" s="507"/>
      <c r="D119" s="507"/>
      <c r="E119" s="507"/>
      <c r="F119" s="507"/>
    </row>
    <row r="120" spans="2:6" ht="12.75">
      <c r="B120" s="507"/>
      <c r="C120" s="507"/>
      <c r="D120" s="507"/>
      <c r="E120" s="507"/>
      <c r="F120" s="507"/>
    </row>
    <row r="121" spans="2:6" ht="12.75">
      <c r="B121" s="507"/>
      <c r="C121" s="507"/>
      <c r="D121" s="507"/>
      <c r="E121" s="507"/>
      <c r="F121" s="507"/>
    </row>
    <row r="122" spans="2:6" ht="12.75">
      <c r="B122" s="507"/>
      <c r="C122" s="507"/>
      <c r="D122" s="507"/>
      <c r="E122" s="507"/>
      <c r="F122" s="507"/>
    </row>
    <row r="123" spans="2:6" ht="12.75">
      <c r="B123" s="507"/>
      <c r="C123" s="507"/>
      <c r="D123" s="507"/>
      <c r="E123" s="507"/>
      <c r="F123" s="507"/>
    </row>
    <row r="124" spans="2:6" ht="12.75">
      <c r="B124" s="507"/>
      <c r="C124" s="507"/>
      <c r="D124" s="507"/>
      <c r="E124" s="507"/>
      <c r="F124" s="507"/>
    </row>
    <row r="125" spans="2:6" ht="12.75">
      <c r="B125" s="507"/>
      <c r="C125" s="507"/>
      <c r="D125" s="507"/>
      <c r="E125" s="507"/>
      <c r="F125" s="507"/>
    </row>
    <row r="126" spans="2:6" ht="12.75">
      <c r="B126" s="507"/>
      <c r="C126" s="507"/>
      <c r="D126" s="507"/>
      <c r="E126" s="507"/>
      <c r="F126" s="507"/>
    </row>
    <row r="127" spans="2:6" ht="12.75">
      <c r="B127" s="507"/>
      <c r="C127" s="507"/>
      <c r="D127" s="507"/>
      <c r="E127" s="507"/>
      <c r="F127" s="507"/>
    </row>
    <row r="128" spans="2:6" ht="12.75">
      <c r="B128" s="507"/>
      <c r="C128" s="507"/>
      <c r="D128" s="507"/>
      <c r="E128" s="507"/>
      <c r="F128" s="507"/>
    </row>
    <row r="129" spans="2:6" ht="12.75">
      <c r="B129" s="507"/>
      <c r="C129" s="507"/>
      <c r="D129" s="507"/>
      <c r="E129" s="507"/>
      <c r="F129" s="507"/>
    </row>
    <row r="130" spans="2:6" ht="12.75">
      <c r="B130" s="507"/>
      <c r="C130" s="507"/>
      <c r="D130" s="507"/>
      <c r="E130" s="507"/>
      <c r="F130" s="507"/>
    </row>
    <row r="131" spans="2:6" ht="12.75">
      <c r="B131" s="507"/>
      <c r="C131" s="507"/>
      <c r="D131" s="507"/>
      <c r="E131" s="507"/>
      <c r="F131" s="507"/>
    </row>
    <row r="132" spans="2:6" ht="12.75">
      <c r="B132" s="507"/>
      <c r="C132" s="507"/>
      <c r="D132" s="507"/>
      <c r="E132" s="507"/>
      <c r="F132" s="507"/>
    </row>
    <row r="133" spans="2:6" ht="12.75">
      <c r="B133" s="507"/>
      <c r="C133" s="507"/>
      <c r="D133" s="507"/>
      <c r="E133" s="507"/>
      <c r="F133" s="507"/>
    </row>
    <row r="134" spans="2:6" ht="12.75">
      <c r="B134" s="507"/>
      <c r="C134" s="507"/>
      <c r="D134" s="507"/>
      <c r="E134" s="507"/>
      <c r="F134" s="507"/>
    </row>
    <row r="135" spans="2:6" ht="12.75">
      <c r="B135" s="507"/>
      <c r="C135" s="507"/>
      <c r="D135" s="507"/>
      <c r="E135" s="507"/>
      <c r="F135" s="507"/>
    </row>
    <row r="136" spans="2:6" ht="12.75">
      <c r="B136" s="507"/>
      <c r="C136" s="507"/>
      <c r="D136" s="507"/>
      <c r="E136" s="507"/>
      <c r="F136" s="507"/>
    </row>
    <row r="137" spans="2:6" ht="12.75">
      <c r="B137" s="507"/>
      <c r="C137" s="507"/>
      <c r="D137" s="507"/>
      <c r="E137" s="507"/>
      <c r="F137" s="507"/>
    </row>
    <row r="138" spans="2:6" ht="12.75">
      <c r="B138" s="507"/>
      <c r="C138" s="507"/>
      <c r="D138" s="507"/>
      <c r="E138" s="507"/>
      <c r="F138" s="507"/>
    </row>
    <row r="139" spans="2:6" ht="12.75">
      <c r="B139" s="507"/>
      <c r="C139" s="507"/>
      <c r="D139" s="507"/>
      <c r="E139" s="507"/>
      <c r="F139" s="507"/>
    </row>
    <row r="140" spans="2:6" ht="12.75">
      <c r="B140" s="507"/>
      <c r="C140" s="507"/>
      <c r="D140" s="507"/>
      <c r="E140" s="507"/>
      <c r="F140" s="507"/>
    </row>
    <row r="141" spans="2:6" ht="12.75">
      <c r="B141" s="507"/>
      <c r="C141" s="507"/>
      <c r="D141" s="507"/>
      <c r="E141" s="507"/>
      <c r="F141" s="507"/>
    </row>
    <row r="142" spans="2:6" ht="12.75">
      <c r="B142" s="507"/>
      <c r="C142" s="507"/>
      <c r="D142" s="507"/>
      <c r="E142" s="507"/>
      <c r="F142" s="507"/>
    </row>
    <row r="143" spans="2:6" ht="12.75">
      <c r="B143" s="507"/>
      <c r="C143" s="507"/>
      <c r="D143" s="507"/>
      <c r="E143" s="507"/>
      <c r="F143" s="507"/>
    </row>
    <row r="144" spans="2:6" ht="12.75">
      <c r="B144" s="507"/>
      <c r="C144" s="507"/>
      <c r="D144" s="507"/>
      <c r="E144" s="507"/>
      <c r="F144" s="507"/>
    </row>
    <row r="145" spans="2:6" ht="12.75">
      <c r="B145" s="507"/>
      <c r="C145" s="507"/>
      <c r="D145" s="507"/>
      <c r="E145" s="507"/>
      <c r="F145" s="507"/>
    </row>
    <row r="146" spans="2:6" ht="12.75">
      <c r="B146" s="507"/>
      <c r="C146" s="507"/>
      <c r="D146" s="507"/>
      <c r="E146" s="507"/>
      <c r="F146" s="507"/>
    </row>
    <row r="147" spans="2:6" ht="12.75">
      <c r="B147" s="507"/>
      <c r="C147" s="507"/>
      <c r="D147" s="507"/>
      <c r="E147" s="507"/>
      <c r="F147" s="507"/>
    </row>
    <row r="148" spans="2:6" ht="12.75">
      <c r="B148" s="507"/>
      <c r="C148" s="507"/>
      <c r="D148" s="507"/>
      <c r="E148" s="507"/>
      <c r="F148" s="507"/>
    </row>
    <row r="149" spans="2:6" ht="12.75">
      <c r="B149" s="507"/>
      <c r="C149" s="507"/>
      <c r="D149" s="507"/>
      <c r="E149" s="507"/>
      <c r="F149" s="507"/>
    </row>
    <row r="150" spans="2:6" ht="12.75">
      <c r="B150" s="507"/>
      <c r="C150" s="507"/>
      <c r="D150" s="507"/>
      <c r="E150" s="507"/>
      <c r="F150" s="507"/>
    </row>
    <row r="151" spans="2:6" ht="12.75">
      <c r="B151" s="507"/>
      <c r="C151" s="507"/>
      <c r="D151" s="507"/>
      <c r="E151" s="507"/>
      <c r="F151" s="507"/>
    </row>
    <row r="152" spans="2:6" ht="12.75">
      <c r="B152" s="507"/>
      <c r="C152" s="507"/>
      <c r="D152" s="507"/>
      <c r="E152" s="507"/>
      <c r="F152" s="507"/>
    </row>
    <row r="153" spans="2:6" ht="12.75">
      <c r="B153" s="507"/>
      <c r="C153" s="507"/>
      <c r="D153" s="507"/>
      <c r="E153" s="507"/>
      <c r="F153" s="507"/>
    </row>
    <row r="154" spans="2:6" ht="12.75">
      <c r="B154" s="507"/>
      <c r="C154" s="507"/>
      <c r="D154" s="507"/>
      <c r="E154" s="507"/>
      <c r="F154" s="507"/>
    </row>
    <row r="155" spans="2:6" ht="12.75">
      <c r="B155" s="507"/>
      <c r="C155" s="507"/>
      <c r="D155" s="507"/>
      <c r="E155" s="507"/>
      <c r="F155" s="507"/>
    </row>
    <row r="156" spans="2:6" ht="12.75">
      <c r="B156" s="507"/>
      <c r="C156" s="507"/>
      <c r="D156" s="507"/>
      <c r="E156" s="507"/>
      <c r="F156" s="507"/>
    </row>
    <row r="157" spans="2:6" ht="12.75">
      <c r="B157" s="507"/>
      <c r="C157" s="507"/>
      <c r="D157" s="507"/>
      <c r="E157" s="507"/>
      <c r="F157" s="507"/>
    </row>
    <row r="158" spans="2:6" ht="12.75">
      <c r="B158" s="507"/>
      <c r="C158" s="507"/>
      <c r="D158" s="507"/>
      <c r="E158" s="507"/>
      <c r="F158" s="507"/>
    </row>
    <row r="159" spans="2:6" ht="12.75">
      <c r="B159" s="507"/>
      <c r="C159" s="507"/>
      <c r="D159" s="507"/>
      <c r="E159" s="507"/>
      <c r="F159" s="507"/>
    </row>
    <row r="160" spans="2:6" ht="12.75">
      <c r="B160" s="507"/>
      <c r="C160" s="507"/>
      <c r="D160" s="507"/>
      <c r="E160" s="507"/>
      <c r="F160" s="507"/>
    </row>
    <row r="161" spans="2:6" ht="12.75">
      <c r="B161" s="507"/>
      <c r="C161" s="507"/>
      <c r="D161" s="507"/>
      <c r="E161" s="507"/>
      <c r="F161" s="507"/>
    </row>
    <row r="162" spans="2:6" ht="12.75">
      <c r="B162" s="507"/>
      <c r="C162" s="507"/>
      <c r="D162" s="507"/>
      <c r="E162" s="507"/>
      <c r="F162" s="507"/>
    </row>
    <row r="163" spans="2:6" ht="12.75">
      <c r="B163" s="507"/>
      <c r="C163" s="507"/>
      <c r="D163" s="507"/>
      <c r="E163" s="507"/>
      <c r="F163" s="507"/>
    </row>
    <row r="164" spans="2:6" ht="12.75">
      <c r="B164" s="507"/>
      <c r="C164" s="507"/>
      <c r="D164" s="507"/>
      <c r="E164" s="507"/>
      <c r="F164" s="507"/>
    </row>
    <row r="165" spans="2:6" ht="12.75">
      <c r="B165" s="507"/>
      <c r="C165" s="507"/>
      <c r="D165" s="507"/>
      <c r="E165" s="507"/>
      <c r="F165" s="507"/>
    </row>
    <row r="166" spans="2:6" ht="12.75">
      <c r="B166" s="507"/>
      <c r="C166" s="507"/>
      <c r="D166" s="507"/>
      <c r="E166" s="507"/>
      <c r="F166" s="507"/>
    </row>
    <row r="167" spans="2:6" ht="12.75">
      <c r="B167" s="507"/>
      <c r="C167" s="507"/>
      <c r="D167" s="507"/>
      <c r="E167" s="507"/>
      <c r="F167" s="507"/>
    </row>
    <row r="168" spans="2:6" ht="12.75">
      <c r="B168" s="507"/>
      <c r="C168" s="507"/>
      <c r="D168" s="507"/>
      <c r="E168" s="507"/>
      <c r="F168" s="507"/>
    </row>
    <row r="169" spans="2:6" ht="12.75">
      <c r="B169" s="507"/>
      <c r="C169" s="507"/>
      <c r="D169" s="507"/>
      <c r="E169" s="507"/>
      <c r="F169" s="507"/>
    </row>
    <row r="170" spans="2:6" ht="12.75">
      <c r="B170" s="507"/>
      <c r="C170" s="507"/>
      <c r="D170" s="507"/>
      <c r="E170" s="507"/>
      <c r="F170" s="507"/>
    </row>
    <row r="171" spans="2:6" ht="12.75">
      <c r="B171" s="507"/>
      <c r="C171" s="507"/>
      <c r="D171" s="507"/>
      <c r="E171" s="507"/>
      <c r="F171" s="507"/>
    </row>
    <row r="172" spans="2:6" ht="12.75">
      <c r="B172" s="507"/>
      <c r="C172" s="507"/>
      <c r="D172" s="507"/>
      <c r="E172" s="507"/>
      <c r="F172" s="507"/>
    </row>
    <row r="173" spans="2:6" ht="12.75">
      <c r="B173" s="507"/>
      <c r="C173" s="507"/>
      <c r="D173" s="507"/>
      <c r="E173" s="507"/>
      <c r="F173" s="507"/>
    </row>
    <row r="174" spans="2:6" ht="12.75">
      <c r="B174" s="507"/>
      <c r="C174" s="507"/>
      <c r="D174" s="507"/>
      <c r="E174" s="507"/>
      <c r="F174" s="507"/>
    </row>
    <row r="175" spans="2:6" ht="12.75">
      <c r="B175" s="507"/>
      <c r="C175" s="507"/>
      <c r="D175" s="507"/>
      <c r="E175" s="507"/>
      <c r="F175" s="507"/>
    </row>
    <row r="176" spans="2:6" ht="12.75">
      <c r="B176" s="507"/>
      <c r="C176" s="507"/>
      <c r="D176" s="507"/>
      <c r="E176" s="507"/>
      <c r="F176" s="507"/>
    </row>
    <row r="177" spans="2:6" ht="12.75">
      <c r="B177" s="507"/>
      <c r="C177" s="507"/>
      <c r="D177" s="507"/>
      <c r="E177" s="507"/>
      <c r="F177" s="507"/>
    </row>
    <row r="178" spans="2:6" ht="12.75">
      <c r="B178" s="507"/>
      <c r="C178" s="507"/>
      <c r="D178" s="507"/>
      <c r="E178" s="507"/>
      <c r="F178" s="507"/>
    </row>
    <row r="179" spans="2:6" ht="12.75">
      <c r="B179" s="507"/>
      <c r="C179" s="507"/>
      <c r="D179" s="507"/>
      <c r="E179" s="507"/>
      <c r="F179" s="507"/>
    </row>
    <row r="180" spans="2:6" ht="12.75">
      <c r="B180" s="507"/>
      <c r="C180" s="507"/>
      <c r="D180" s="507"/>
      <c r="E180" s="507"/>
      <c r="F180" s="507"/>
    </row>
    <row r="181" spans="2:6" ht="12.75">
      <c r="B181" s="507"/>
      <c r="C181" s="507"/>
      <c r="D181" s="507"/>
      <c r="E181" s="507"/>
      <c r="F181" s="507"/>
    </row>
    <row r="182" spans="2:6" ht="12.75">
      <c r="B182" s="507"/>
      <c r="C182" s="507"/>
      <c r="D182" s="507"/>
      <c r="E182" s="507"/>
      <c r="F182" s="507"/>
    </row>
    <row r="183" spans="2:6" ht="12.75">
      <c r="B183" s="507"/>
      <c r="C183" s="507"/>
      <c r="D183" s="507"/>
      <c r="E183" s="507"/>
      <c r="F183" s="507"/>
    </row>
    <row r="184" spans="2:6" ht="12.75">
      <c r="B184" s="507"/>
      <c r="C184" s="507"/>
      <c r="D184" s="507"/>
      <c r="E184" s="507"/>
      <c r="F184" s="507"/>
    </row>
    <row r="185" spans="2:6" ht="12.75">
      <c r="B185" s="507"/>
      <c r="C185" s="507"/>
      <c r="D185" s="507"/>
      <c r="E185" s="507"/>
      <c r="F185" s="507"/>
    </row>
    <row r="186" spans="2:6" ht="12.75">
      <c r="B186" s="507"/>
      <c r="C186" s="507"/>
      <c r="D186" s="507"/>
      <c r="E186" s="507"/>
      <c r="F186" s="507"/>
    </row>
    <row r="187" spans="2:6" ht="12.75">
      <c r="B187" s="507"/>
      <c r="C187" s="507"/>
      <c r="D187" s="507"/>
      <c r="E187" s="507"/>
      <c r="F187" s="507"/>
    </row>
    <row r="188" spans="2:6" ht="12.75">
      <c r="B188" s="507"/>
      <c r="C188" s="507"/>
      <c r="D188" s="507"/>
      <c r="E188" s="507"/>
      <c r="F188" s="507"/>
    </row>
    <row r="189" spans="2:6" ht="12.75">
      <c r="B189" s="507"/>
      <c r="C189" s="507"/>
      <c r="D189" s="507"/>
      <c r="E189" s="507"/>
      <c r="F189" s="507"/>
    </row>
    <row r="190" spans="2:6" ht="12.75">
      <c r="B190" s="507"/>
      <c r="C190" s="507"/>
      <c r="D190" s="507"/>
      <c r="E190" s="507"/>
      <c r="F190" s="507"/>
    </row>
    <row r="191" spans="2:6" ht="12.75">
      <c r="B191" s="507"/>
      <c r="C191" s="507"/>
      <c r="D191" s="507"/>
      <c r="E191" s="507"/>
      <c r="F191" s="507"/>
    </row>
    <row r="192" spans="2:6" ht="12.75">
      <c r="B192" s="507"/>
      <c r="C192" s="507"/>
      <c r="D192" s="507"/>
      <c r="E192" s="507"/>
      <c r="F192" s="507"/>
    </row>
    <row r="193" spans="2:6" ht="12.75">
      <c r="B193" s="507"/>
      <c r="C193" s="507"/>
      <c r="D193" s="507"/>
      <c r="E193" s="507"/>
      <c r="F193" s="507"/>
    </row>
    <row r="194" spans="2:6" ht="12.75">
      <c r="B194" s="507"/>
      <c r="C194" s="507"/>
      <c r="D194" s="507"/>
      <c r="E194" s="507"/>
      <c r="F194" s="507"/>
    </row>
    <row r="195" spans="2:6" ht="12.75">
      <c r="B195" s="507"/>
      <c r="C195" s="507"/>
      <c r="D195" s="507"/>
      <c r="E195" s="507"/>
      <c r="F195" s="507"/>
    </row>
    <row r="196" spans="2:6" ht="12.75">
      <c r="B196" s="507"/>
      <c r="C196" s="507"/>
      <c r="D196" s="507"/>
      <c r="E196" s="507"/>
      <c r="F196" s="507"/>
    </row>
    <row r="197" spans="2:6" ht="12.75">
      <c r="B197" s="507"/>
      <c r="C197" s="507"/>
      <c r="D197" s="507"/>
      <c r="E197" s="507"/>
      <c r="F197" s="507"/>
    </row>
    <row r="198" spans="2:6" ht="12.75">
      <c r="B198" s="507"/>
      <c r="C198" s="507"/>
      <c r="D198" s="507"/>
      <c r="E198" s="507"/>
      <c r="F198" s="507"/>
    </row>
    <row r="199" spans="2:6" ht="12.75">
      <c r="B199" s="507"/>
      <c r="C199" s="507"/>
      <c r="D199" s="507"/>
      <c r="E199" s="507"/>
      <c r="F199" s="507"/>
    </row>
    <row r="200" spans="2:6" ht="12.75">
      <c r="B200" s="507"/>
      <c r="C200" s="507"/>
      <c r="D200" s="507"/>
      <c r="E200" s="507"/>
      <c r="F200" s="507"/>
    </row>
    <row r="201" spans="2:6" ht="12.75">
      <c r="B201" s="507"/>
      <c r="C201" s="507"/>
      <c r="D201" s="507"/>
      <c r="E201" s="507"/>
      <c r="F201" s="507"/>
    </row>
    <row r="202" spans="2:6" ht="12.75">
      <c r="B202" s="507"/>
      <c r="C202" s="507"/>
      <c r="D202" s="507"/>
      <c r="E202" s="507"/>
      <c r="F202" s="507"/>
    </row>
    <row r="203" spans="2:6" ht="12.75">
      <c r="B203" s="507"/>
      <c r="C203" s="507"/>
      <c r="D203" s="507"/>
      <c r="E203" s="507"/>
      <c r="F203" s="507"/>
    </row>
    <row r="204" spans="2:6" ht="12.75">
      <c r="B204" s="507"/>
      <c r="C204" s="507"/>
      <c r="D204" s="507"/>
      <c r="E204" s="507"/>
      <c r="F204" s="507"/>
    </row>
    <row r="205" spans="2:6" ht="12.75">
      <c r="B205" s="507"/>
      <c r="C205" s="507"/>
      <c r="D205" s="507"/>
      <c r="E205" s="507"/>
      <c r="F205" s="507"/>
    </row>
    <row r="206" spans="2:6" ht="12.75">
      <c r="B206" s="507"/>
      <c r="C206" s="507"/>
      <c r="D206" s="507"/>
      <c r="E206" s="507"/>
      <c r="F206" s="507"/>
    </row>
    <row r="207" spans="2:6" ht="12.75">
      <c r="B207" s="507"/>
      <c r="C207" s="507"/>
      <c r="D207" s="507"/>
      <c r="E207" s="507"/>
      <c r="F207" s="507"/>
    </row>
    <row r="208" spans="2:6" ht="12.75">
      <c r="B208" s="507"/>
      <c r="C208" s="507"/>
      <c r="D208" s="507"/>
      <c r="E208" s="507"/>
      <c r="F208" s="507"/>
    </row>
    <row r="209" spans="2:6" ht="12.75">
      <c r="B209" s="507"/>
      <c r="C209" s="507"/>
      <c r="D209" s="507"/>
      <c r="E209" s="507"/>
      <c r="F209" s="507"/>
    </row>
    <row r="210" spans="2:6" ht="12.75">
      <c r="B210" s="507"/>
      <c r="C210" s="507"/>
      <c r="D210" s="507"/>
      <c r="E210" s="507"/>
      <c r="F210" s="507"/>
    </row>
    <row r="211" spans="2:6" ht="12.75">
      <c r="B211" s="507"/>
      <c r="C211" s="507"/>
      <c r="D211" s="507"/>
      <c r="E211" s="507"/>
      <c r="F211" s="507"/>
    </row>
    <row r="212" spans="2:6" ht="12.75">
      <c r="B212" s="507"/>
      <c r="C212" s="507"/>
      <c r="D212" s="507"/>
      <c r="E212" s="507"/>
      <c r="F212" s="507"/>
    </row>
    <row r="213" spans="2:6" ht="12.75">
      <c r="B213" s="507"/>
      <c r="C213" s="507"/>
      <c r="D213" s="507"/>
      <c r="E213" s="507"/>
      <c r="F213" s="507"/>
    </row>
    <row r="214" spans="2:6" ht="12.75">
      <c r="B214" s="507"/>
      <c r="C214" s="507"/>
      <c r="D214" s="507"/>
      <c r="E214" s="507"/>
      <c r="F214" s="507"/>
    </row>
    <row r="215" spans="2:6" ht="12.75">
      <c r="B215" s="507"/>
      <c r="C215" s="507"/>
      <c r="D215" s="507"/>
      <c r="E215" s="507"/>
      <c r="F215" s="507"/>
    </row>
    <row r="216" spans="2:6" ht="12.75">
      <c r="B216" s="507"/>
      <c r="C216" s="507"/>
      <c r="D216" s="507"/>
      <c r="E216" s="507"/>
      <c r="F216" s="507"/>
    </row>
    <row r="217" spans="2:6" ht="12.75">
      <c r="B217" s="507"/>
      <c r="C217" s="507"/>
      <c r="D217" s="507"/>
      <c r="E217" s="507"/>
      <c r="F217" s="507"/>
    </row>
    <row r="218" spans="2:6" ht="12.75">
      <c r="B218" s="507"/>
      <c r="C218" s="507"/>
      <c r="D218" s="507"/>
      <c r="E218" s="507"/>
      <c r="F218" s="507"/>
    </row>
    <row r="219" spans="2:6" ht="12.75">
      <c r="B219" s="507"/>
      <c r="C219" s="507"/>
      <c r="D219" s="507"/>
      <c r="E219" s="507"/>
      <c r="F219" s="507"/>
    </row>
    <row r="220" spans="2:6" ht="12.75">
      <c r="B220" s="507"/>
      <c r="C220" s="507"/>
      <c r="D220" s="507"/>
      <c r="E220" s="507"/>
      <c r="F220" s="507"/>
    </row>
    <row r="221" spans="2:6" ht="12.75">
      <c r="B221" s="507"/>
      <c r="C221" s="507"/>
      <c r="D221" s="507"/>
      <c r="E221" s="507"/>
      <c r="F221" s="507"/>
    </row>
    <row r="222" spans="2:6" ht="12.75">
      <c r="B222" s="507"/>
      <c r="C222" s="507"/>
      <c r="D222" s="507"/>
      <c r="E222" s="507"/>
      <c r="F222" s="507"/>
    </row>
    <row r="223" spans="2:6" ht="12.75">
      <c r="B223" s="507"/>
      <c r="C223" s="507"/>
      <c r="D223" s="507"/>
      <c r="E223" s="507"/>
      <c r="F223" s="507"/>
    </row>
    <row r="224" spans="2:6" ht="12.75">
      <c r="B224" s="507"/>
      <c r="C224" s="507"/>
      <c r="D224" s="507"/>
      <c r="E224" s="507"/>
      <c r="F224" s="507"/>
    </row>
    <row r="225" spans="2:6" ht="12.75">
      <c r="B225" s="507"/>
      <c r="C225" s="507"/>
      <c r="D225" s="507"/>
      <c r="E225" s="507"/>
      <c r="F225" s="507"/>
    </row>
    <row r="226" spans="2:6" ht="12.75">
      <c r="B226" s="507"/>
      <c r="C226" s="507"/>
      <c r="D226" s="507"/>
      <c r="E226" s="507"/>
      <c r="F226" s="507"/>
    </row>
    <row r="227" spans="2:6" ht="12.75">
      <c r="B227" s="507"/>
      <c r="C227" s="507"/>
      <c r="D227" s="507"/>
      <c r="E227" s="507"/>
      <c r="F227" s="507"/>
    </row>
    <row r="228" spans="2:6" ht="12.75">
      <c r="B228" s="507"/>
      <c r="C228" s="507"/>
      <c r="D228" s="507"/>
      <c r="E228" s="507"/>
      <c r="F228" s="507"/>
    </row>
    <row r="229" spans="2:6" ht="12.75">
      <c r="B229" s="507"/>
      <c r="C229" s="507"/>
      <c r="D229" s="507"/>
      <c r="E229" s="507"/>
      <c r="F229" s="507"/>
    </row>
    <row r="230" spans="2:6" ht="12.75">
      <c r="B230" s="507"/>
      <c r="C230" s="507"/>
      <c r="D230" s="507"/>
      <c r="E230" s="507"/>
      <c r="F230" s="507"/>
    </row>
    <row r="231" spans="2:6" ht="12.75">
      <c r="B231" s="507"/>
      <c r="C231" s="507"/>
      <c r="D231" s="507"/>
      <c r="E231" s="507"/>
      <c r="F231" s="507"/>
    </row>
    <row r="232" spans="2:6" ht="12.75">
      <c r="B232" s="507"/>
      <c r="C232" s="507"/>
      <c r="D232" s="507"/>
      <c r="E232" s="507"/>
      <c r="F232" s="507"/>
    </row>
    <row r="233" spans="2:6" ht="12.75">
      <c r="B233" s="507"/>
      <c r="C233" s="507"/>
      <c r="D233" s="507"/>
      <c r="E233" s="507"/>
      <c r="F233" s="507"/>
    </row>
    <row r="234" spans="2:6" ht="12.75">
      <c r="B234" s="507"/>
      <c r="C234" s="507"/>
      <c r="D234" s="507"/>
      <c r="E234" s="507"/>
      <c r="F234" s="507"/>
    </row>
    <row r="235" spans="2:6" ht="12.75">
      <c r="B235" s="507"/>
      <c r="C235" s="507"/>
      <c r="D235" s="507"/>
      <c r="E235" s="507"/>
      <c r="F235" s="507"/>
    </row>
    <row r="236" spans="2:6" ht="12.75">
      <c r="B236" s="507"/>
      <c r="C236" s="507"/>
      <c r="D236" s="507"/>
      <c r="E236" s="507"/>
      <c r="F236" s="507"/>
    </row>
    <row r="237" spans="2:6" ht="12.75">
      <c r="B237" s="507"/>
      <c r="C237" s="507"/>
      <c r="D237" s="507"/>
      <c r="E237" s="507"/>
      <c r="F237" s="507"/>
    </row>
    <row r="238" spans="2:6" ht="12.75">
      <c r="B238" s="507"/>
      <c r="C238" s="507"/>
      <c r="D238" s="507"/>
      <c r="E238" s="507"/>
      <c r="F238" s="507"/>
    </row>
    <row r="239" spans="2:6" ht="12.75">
      <c r="B239" s="507"/>
      <c r="C239" s="507"/>
      <c r="D239" s="507"/>
      <c r="E239" s="507"/>
      <c r="F239" s="507"/>
    </row>
    <row r="240" spans="2:6" ht="12.75">
      <c r="B240" s="507"/>
      <c r="C240" s="507"/>
      <c r="D240" s="507"/>
      <c r="E240" s="507"/>
      <c r="F240" s="507"/>
    </row>
    <row r="241" spans="2:6" ht="12.75">
      <c r="B241" s="507"/>
      <c r="C241" s="507"/>
      <c r="D241" s="507"/>
      <c r="E241" s="507"/>
      <c r="F241" s="507"/>
    </row>
    <row r="242" spans="2:6" ht="12.75">
      <c r="B242" s="507"/>
      <c r="C242" s="507"/>
      <c r="D242" s="507"/>
      <c r="E242" s="507"/>
      <c r="F242" s="507"/>
    </row>
    <row r="243" spans="2:6" ht="12.75">
      <c r="B243" s="507"/>
      <c r="C243" s="507"/>
      <c r="D243" s="507"/>
      <c r="E243" s="507"/>
      <c r="F243" s="507"/>
    </row>
    <row r="244" spans="2:6" ht="12.75">
      <c r="B244" s="507"/>
      <c r="C244" s="507"/>
      <c r="D244" s="507"/>
      <c r="E244" s="507"/>
      <c r="F244" s="507"/>
    </row>
    <row r="245" spans="2:6" ht="12.75">
      <c r="B245" s="507"/>
      <c r="C245" s="507"/>
      <c r="D245" s="507"/>
      <c r="E245" s="507"/>
      <c r="F245" s="507"/>
    </row>
    <row r="246" spans="2:6" ht="12.75">
      <c r="B246" s="507"/>
      <c r="C246" s="507"/>
      <c r="D246" s="507"/>
      <c r="E246" s="507"/>
      <c r="F246" s="507"/>
    </row>
    <row r="247" spans="2:6" ht="12.75">
      <c r="B247" s="507"/>
      <c r="C247" s="507"/>
      <c r="D247" s="507"/>
      <c r="E247" s="507"/>
      <c r="F247" s="507"/>
    </row>
    <row r="248" spans="2:6" ht="12.75">
      <c r="B248" s="507"/>
      <c r="C248" s="507"/>
      <c r="D248" s="507"/>
      <c r="E248" s="507"/>
      <c r="F248" s="507"/>
    </row>
    <row r="249" spans="2:6" ht="12.75">
      <c r="B249" s="507"/>
      <c r="C249" s="507"/>
      <c r="D249" s="507"/>
      <c r="E249" s="507"/>
      <c r="F249" s="507"/>
    </row>
    <row r="250" spans="2:6" ht="12.75">
      <c r="B250" s="507"/>
      <c r="C250" s="507"/>
      <c r="D250" s="507"/>
      <c r="E250" s="507"/>
      <c r="F250" s="507"/>
    </row>
    <row r="251" spans="2:6" ht="12.75">
      <c r="B251" s="507"/>
      <c r="C251" s="507"/>
      <c r="D251" s="507"/>
      <c r="E251" s="507"/>
      <c r="F251" s="507"/>
    </row>
    <row r="252" spans="2:6" ht="12.75">
      <c r="B252" s="507"/>
      <c r="C252" s="507"/>
      <c r="D252" s="507"/>
      <c r="E252" s="507"/>
      <c r="F252" s="507"/>
    </row>
    <row r="253" spans="2:6" ht="12.75">
      <c r="B253" s="507"/>
      <c r="C253" s="507"/>
      <c r="D253" s="507"/>
      <c r="E253" s="507"/>
      <c r="F253" s="507"/>
    </row>
    <row r="254" spans="2:6" ht="12.75">
      <c r="B254" s="507"/>
      <c r="C254" s="507"/>
      <c r="D254" s="507"/>
      <c r="E254" s="507"/>
      <c r="F254" s="507"/>
    </row>
    <row r="255" spans="2:6" ht="12.75">
      <c r="B255" s="507"/>
      <c r="C255" s="507"/>
      <c r="D255" s="507"/>
      <c r="E255" s="507"/>
      <c r="F255" s="507"/>
    </row>
    <row r="256" spans="2:6" ht="12.75">
      <c r="B256" s="507"/>
      <c r="C256" s="507"/>
      <c r="D256" s="507"/>
      <c r="E256" s="507"/>
      <c r="F256" s="507"/>
    </row>
    <row r="257" spans="2:6" ht="12.75">
      <c r="B257" s="507"/>
      <c r="C257" s="507"/>
      <c r="D257" s="507"/>
      <c r="E257" s="507"/>
      <c r="F257" s="507"/>
    </row>
    <row r="258" spans="2:6" ht="12.75">
      <c r="B258" s="507"/>
      <c r="C258" s="507"/>
      <c r="D258" s="507"/>
      <c r="E258" s="507"/>
      <c r="F258" s="507"/>
    </row>
    <row r="259" spans="2:6" ht="12.75">
      <c r="B259" s="507"/>
      <c r="C259" s="507"/>
      <c r="D259" s="507"/>
      <c r="E259" s="507"/>
      <c r="F259" s="507"/>
    </row>
    <row r="260" spans="2:6" ht="12.75">
      <c r="B260" s="507"/>
      <c r="C260" s="507"/>
      <c r="D260" s="507"/>
      <c r="E260" s="507"/>
      <c r="F260" s="507"/>
    </row>
    <row r="261" spans="2:6" ht="12.75">
      <c r="B261" s="507"/>
      <c r="C261" s="507"/>
      <c r="D261" s="507"/>
      <c r="E261" s="507"/>
      <c r="F261" s="507"/>
    </row>
    <row r="262" spans="2:6" ht="12.75">
      <c r="B262" s="507"/>
      <c r="C262" s="507"/>
      <c r="D262" s="507"/>
      <c r="E262" s="507"/>
      <c r="F262" s="507"/>
    </row>
    <row r="263" spans="2:6" ht="12.75">
      <c r="B263" s="507"/>
      <c r="C263" s="507"/>
      <c r="D263" s="507"/>
      <c r="E263" s="507"/>
      <c r="F263" s="507"/>
    </row>
    <row r="264" spans="2:6" ht="12.75">
      <c r="B264" s="507"/>
      <c r="C264" s="507"/>
      <c r="D264" s="507"/>
      <c r="E264" s="507"/>
      <c r="F264" s="507"/>
    </row>
    <row r="265" spans="2:6" ht="12.75">
      <c r="B265" s="507"/>
      <c r="C265" s="507"/>
      <c r="D265" s="507"/>
      <c r="E265" s="507"/>
      <c r="F265" s="507"/>
    </row>
    <row r="266" spans="2:6" ht="12.75">
      <c r="B266" s="507"/>
      <c r="C266" s="507"/>
      <c r="D266" s="507"/>
      <c r="E266" s="507"/>
      <c r="F266" s="507"/>
    </row>
    <row r="267" spans="2:6" ht="12.75">
      <c r="B267" s="507"/>
      <c r="C267" s="507"/>
      <c r="D267" s="507"/>
      <c r="E267" s="507"/>
      <c r="F267" s="507"/>
    </row>
    <row r="268" spans="2:6" ht="12.75">
      <c r="B268" s="507"/>
      <c r="C268" s="507"/>
      <c r="D268" s="507"/>
      <c r="E268" s="507"/>
      <c r="F268" s="507"/>
    </row>
    <row r="269" spans="2:6" ht="12.75">
      <c r="B269" s="507"/>
      <c r="C269" s="507"/>
      <c r="D269" s="507"/>
      <c r="E269" s="507"/>
      <c r="F269" s="507"/>
    </row>
    <row r="270" spans="2:6" ht="12.75">
      <c r="B270" s="507"/>
      <c r="C270" s="507"/>
      <c r="D270" s="507"/>
      <c r="E270" s="507"/>
      <c r="F270" s="507"/>
    </row>
    <row r="271" spans="2:6" ht="12.75">
      <c r="B271" s="507"/>
      <c r="C271" s="507"/>
      <c r="D271" s="507"/>
      <c r="E271" s="507"/>
      <c r="F271" s="507"/>
    </row>
    <row r="272" spans="2:6" ht="12.75">
      <c r="B272" s="507"/>
      <c r="C272" s="507"/>
      <c r="D272" s="507"/>
      <c r="E272" s="507"/>
      <c r="F272" s="507"/>
    </row>
    <row r="273" spans="2:6" ht="12.75">
      <c r="B273" s="507"/>
      <c r="C273" s="507"/>
      <c r="D273" s="507"/>
      <c r="E273" s="507"/>
      <c r="F273" s="507"/>
    </row>
    <row r="274" spans="2:6" ht="12.75">
      <c r="B274" s="507"/>
      <c r="C274" s="507"/>
      <c r="D274" s="507"/>
      <c r="E274" s="507"/>
      <c r="F274" s="507"/>
    </row>
    <row r="275" spans="2:6" ht="12.75">
      <c r="B275" s="507"/>
      <c r="C275" s="507"/>
      <c r="D275" s="507"/>
      <c r="E275" s="507"/>
      <c r="F275" s="507"/>
    </row>
    <row r="276" spans="2:6" ht="12.75">
      <c r="B276" s="507"/>
      <c r="C276" s="507"/>
      <c r="D276" s="507"/>
      <c r="E276" s="507"/>
      <c r="F276" s="507"/>
    </row>
    <row r="277" spans="2:6" ht="12.75">
      <c r="B277" s="507"/>
      <c r="C277" s="507"/>
      <c r="D277" s="507"/>
      <c r="E277" s="507"/>
      <c r="F277" s="507"/>
    </row>
    <row r="278" spans="2:6" ht="12.75">
      <c r="B278" s="507"/>
      <c r="C278" s="507"/>
      <c r="D278" s="507"/>
      <c r="E278" s="507"/>
      <c r="F278" s="507"/>
    </row>
    <row r="279" spans="2:6" ht="12.75">
      <c r="B279" s="507"/>
      <c r="C279" s="507"/>
      <c r="D279" s="507"/>
      <c r="E279" s="507"/>
      <c r="F279" s="507"/>
    </row>
    <row r="280" spans="2:6" ht="12.75">
      <c r="B280" s="507"/>
      <c r="C280" s="507"/>
      <c r="D280" s="507"/>
      <c r="E280" s="507"/>
      <c r="F280" s="507"/>
    </row>
    <row r="281" spans="2:6" ht="12.75">
      <c r="B281" s="507"/>
      <c r="C281" s="507"/>
      <c r="D281" s="507"/>
      <c r="E281" s="507"/>
      <c r="F281" s="507"/>
    </row>
    <row r="282" spans="2:6" ht="12.75">
      <c r="B282" s="507"/>
      <c r="C282" s="507"/>
      <c r="D282" s="507"/>
      <c r="E282" s="507"/>
      <c r="F282" s="507"/>
    </row>
    <row r="283" spans="2:6" ht="12.75">
      <c r="B283" s="507"/>
      <c r="C283" s="507"/>
      <c r="D283" s="507"/>
      <c r="E283" s="507"/>
      <c r="F283" s="507"/>
    </row>
    <row r="284" spans="2:6" ht="12.75">
      <c r="B284" s="507"/>
      <c r="C284" s="507"/>
      <c r="D284" s="507"/>
      <c r="E284" s="507"/>
      <c r="F284" s="507"/>
    </row>
    <row r="285" spans="2:6" ht="12.75">
      <c r="B285" s="507"/>
      <c r="C285" s="507"/>
      <c r="D285" s="507"/>
      <c r="E285" s="507"/>
      <c r="F285" s="507"/>
    </row>
    <row r="286" spans="2:6" ht="12.75">
      <c r="B286" s="507"/>
      <c r="C286" s="507"/>
      <c r="D286" s="507"/>
      <c r="E286" s="507"/>
      <c r="F286" s="507"/>
    </row>
    <row r="287" spans="2:6" ht="12.75">
      <c r="B287" s="507"/>
      <c r="C287" s="507"/>
      <c r="D287" s="507"/>
      <c r="E287" s="507"/>
      <c r="F287" s="507"/>
    </row>
    <row r="288" spans="2:6" ht="12.75">
      <c r="B288" s="507"/>
      <c r="C288" s="507"/>
      <c r="D288" s="507"/>
      <c r="E288" s="507"/>
      <c r="F288" s="507"/>
    </row>
    <row r="289" spans="2:6" ht="12.75">
      <c r="B289" s="507"/>
      <c r="C289" s="507"/>
      <c r="D289" s="507"/>
      <c r="E289" s="507"/>
      <c r="F289" s="507"/>
    </row>
    <row r="290" spans="2:6" ht="12.75">
      <c r="B290" s="507"/>
      <c r="C290" s="507"/>
      <c r="D290" s="507"/>
      <c r="E290" s="507"/>
      <c r="F290" s="507"/>
    </row>
    <row r="291" spans="2:6" ht="12.75">
      <c r="B291" s="507"/>
      <c r="C291" s="507"/>
      <c r="D291" s="507"/>
      <c r="E291" s="507"/>
      <c r="F291" s="507"/>
    </row>
    <row r="292" spans="2:6" ht="12.75">
      <c r="B292" s="507"/>
      <c r="C292" s="507"/>
      <c r="D292" s="507"/>
      <c r="E292" s="507"/>
      <c r="F292" s="507"/>
    </row>
    <row r="293" spans="2:6" ht="12.75">
      <c r="B293" s="507"/>
      <c r="C293" s="507"/>
      <c r="D293" s="507"/>
      <c r="E293" s="507"/>
      <c r="F293" s="507"/>
    </row>
    <row r="294" spans="2:6" ht="12.75">
      <c r="B294" s="507"/>
      <c r="C294" s="507"/>
      <c r="D294" s="507"/>
      <c r="E294" s="507"/>
      <c r="F294" s="507"/>
    </row>
    <row r="295" spans="2:6" ht="12.75">
      <c r="B295" s="507"/>
      <c r="C295" s="507"/>
      <c r="D295" s="507"/>
      <c r="E295" s="507"/>
      <c r="F295" s="507"/>
    </row>
    <row r="296" spans="2:6" ht="12.75">
      <c r="B296" s="507"/>
      <c r="C296" s="507"/>
      <c r="D296" s="507"/>
      <c r="E296" s="507"/>
      <c r="F296" s="507"/>
    </row>
    <row r="297" spans="2:6" ht="12.75">
      <c r="B297" s="507"/>
      <c r="C297" s="507"/>
      <c r="D297" s="507"/>
      <c r="E297" s="507"/>
      <c r="F297" s="507"/>
    </row>
    <row r="298" spans="2:6" ht="12.75">
      <c r="B298" s="507"/>
      <c r="C298" s="507"/>
      <c r="D298" s="507"/>
      <c r="E298" s="507"/>
      <c r="F298" s="507"/>
    </row>
    <row r="299" spans="2:6" ht="12.75">
      <c r="B299" s="507"/>
      <c r="C299" s="507"/>
      <c r="D299" s="507"/>
      <c r="E299" s="507"/>
      <c r="F299" s="507"/>
    </row>
    <row r="300" spans="2:6" ht="12.75">
      <c r="B300" s="507"/>
      <c r="C300" s="507"/>
      <c r="D300" s="507"/>
      <c r="E300" s="507"/>
      <c r="F300" s="507"/>
    </row>
    <row r="301" spans="2:6" ht="12.75">
      <c r="B301" s="507"/>
      <c r="C301" s="507"/>
      <c r="D301" s="507"/>
      <c r="E301" s="507"/>
      <c r="F301" s="507"/>
    </row>
    <row r="302" spans="2:6" ht="12.75">
      <c r="B302" s="507"/>
      <c r="C302" s="507"/>
      <c r="D302" s="507"/>
      <c r="E302" s="507"/>
      <c r="F302" s="507"/>
    </row>
    <row r="303" spans="2:6" ht="12.75">
      <c r="B303" s="507"/>
      <c r="C303" s="507"/>
      <c r="D303" s="507"/>
      <c r="E303" s="507"/>
      <c r="F303" s="507"/>
    </row>
    <row r="304" spans="2:6" ht="12.75">
      <c r="B304" s="507"/>
      <c r="C304" s="507"/>
      <c r="D304" s="507"/>
      <c r="E304" s="507"/>
      <c r="F304" s="507"/>
    </row>
    <row r="305" spans="2:6" ht="12.75">
      <c r="B305" s="507"/>
      <c r="C305" s="507"/>
      <c r="D305" s="507"/>
      <c r="E305" s="507"/>
      <c r="F305" s="507"/>
    </row>
    <row r="306" spans="2:6" ht="12.75">
      <c r="B306" s="507"/>
      <c r="C306" s="507"/>
      <c r="D306" s="507"/>
      <c r="E306" s="507"/>
      <c r="F306" s="507"/>
    </row>
    <row r="307" spans="2:6" ht="12.75">
      <c r="B307" s="507"/>
      <c r="C307" s="507"/>
      <c r="D307" s="507"/>
      <c r="E307" s="507"/>
      <c r="F307" s="507"/>
    </row>
    <row r="308" spans="2:6" ht="12.75">
      <c r="B308" s="507"/>
      <c r="C308" s="507"/>
      <c r="D308" s="507"/>
      <c r="E308" s="507"/>
      <c r="F308" s="507"/>
    </row>
    <row r="309" spans="2:6" ht="12.75">
      <c r="B309" s="507"/>
      <c r="C309" s="507"/>
      <c r="D309" s="507"/>
      <c r="E309" s="507"/>
      <c r="F309" s="507"/>
    </row>
    <row r="310" spans="2:6" ht="12.75">
      <c r="B310" s="507"/>
      <c r="C310" s="507"/>
      <c r="D310" s="507"/>
      <c r="E310" s="507"/>
      <c r="F310" s="507"/>
    </row>
    <row r="311" spans="2:6" ht="12.75">
      <c r="B311" s="507"/>
      <c r="C311" s="507"/>
      <c r="D311" s="507"/>
      <c r="E311" s="507"/>
      <c r="F311" s="507"/>
    </row>
    <row r="312" spans="2:6" ht="12.75">
      <c r="B312" s="507"/>
      <c r="C312" s="507"/>
      <c r="D312" s="507"/>
      <c r="E312" s="507"/>
      <c r="F312" s="507"/>
    </row>
    <row r="313" spans="2:6" ht="12.75">
      <c r="B313" s="507"/>
      <c r="C313" s="507"/>
      <c r="D313" s="507"/>
      <c r="E313" s="507"/>
      <c r="F313" s="507"/>
    </row>
    <row r="314" spans="2:6" ht="12.75">
      <c r="B314" s="507"/>
      <c r="C314" s="507"/>
      <c r="D314" s="507"/>
      <c r="E314" s="507"/>
      <c r="F314" s="507"/>
    </row>
    <row r="315" spans="2:6" ht="12.75">
      <c r="B315" s="507"/>
      <c r="C315" s="507"/>
      <c r="D315" s="507"/>
      <c r="E315" s="507"/>
      <c r="F315" s="507"/>
    </row>
    <row r="316" spans="2:6" ht="12.75">
      <c r="B316" s="507"/>
      <c r="C316" s="507"/>
      <c r="D316" s="507"/>
      <c r="E316" s="507"/>
      <c r="F316" s="507"/>
    </row>
    <row r="317" spans="2:6" ht="12.75">
      <c r="B317" s="507"/>
      <c r="C317" s="507"/>
      <c r="D317" s="507"/>
      <c r="E317" s="507"/>
      <c r="F317" s="507"/>
    </row>
    <row r="318" spans="2:6" ht="12.75">
      <c r="B318" s="507"/>
      <c r="C318" s="507"/>
      <c r="D318" s="507"/>
      <c r="E318" s="507"/>
      <c r="F318" s="507"/>
    </row>
    <row r="319" spans="2:6" ht="12.75">
      <c r="B319" s="507"/>
      <c r="C319" s="507"/>
      <c r="D319" s="507"/>
      <c r="E319" s="507"/>
      <c r="F319" s="507"/>
    </row>
    <row r="320" spans="2:6" ht="12.75">
      <c r="B320" s="507"/>
      <c r="C320" s="507"/>
      <c r="D320" s="507"/>
      <c r="E320" s="507"/>
      <c r="F320" s="507"/>
    </row>
    <row r="321" spans="2:6" ht="12.75">
      <c r="B321" s="507"/>
      <c r="C321" s="507"/>
      <c r="D321" s="507"/>
      <c r="E321" s="507"/>
      <c r="F321" s="507"/>
    </row>
    <row r="322" spans="2:6" ht="12.75">
      <c r="B322" s="507"/>
      <c r="C322" s="507"/>
      <c r="D322" s="507"/>
      <c r="E322" s="507"/>
      <c r="F322" s="507"/>
    </row>
    <row r="323" spans="2:6" ht="12.75">
      <c r="B323" s="507"/>
      <c r="C323" s="507"/>
      <c r="D323" s="507"/>
      <c r="E323" s="507"/>
      <c r="F323" s="507"/>
    </row>
    <row r="324" spans="2:6" ht="12.75">
      <c r="B324" s="507"/>
      <c r="C324" s="507"/>
      <c r="D324" s="507"/>
      <c r="E324" s="507"/>
      <c r="F324" s="507"/>
    </row>
    <row r="325" spans="2:6" ht="12.75">
      <c r="B325" s="507"/>
      <c r="C325" s="507"/>
      <c r="D325" s="507"/>
      <c r="E325" s="507"/>
      <c r="F325" s="507"/>
    </row>
    <row r="326" spans="2:6" ht="12.75">
      <c r="B326" s="507"/>
      <c r="C326" s="507"/>
      <c r="D326" s="507"/>
      <c r="E326" s="507"/>
      <c r="F326" s="507"/>
    </row>
    <row r="327" spans="2:6" ht="12.75">
      <c r="B327" s="507"/>
      <c r="C327" s="507"/>
      <c r="D327" s="507"/>
      <c r="E327" s="507"/>
      <c r="F327" s="507"/>
    </row>
    <row r="328" spans="2:6" ht="12.75">
      <c r="B328" s="507"/>
      <c r="C328" s="507"/>
      <c r="D328" s="507"/>
      <c r="E328" s="507"/>
      <c r="F328" s="507"/>
    </row>
    <row r="329" spans="2:6" ht="12.75">
      <c r="B329" s="507"/>
      <c r="C329" s="507"/>
      <c r="D329" s="507"/>
      <c r="E329" s="507"/>
      <c r="F329" s="507"/>
    </row>
    <row r="330" spans="2:6" ht="12.75">
      <c r="B330" s="507"/>
      <c r="C330" s="507"/>
      <c r="D330" s="507"/>
      <c r="E330" s="507"/>
      <c r="F330" s="507"/>
    </row>
    <row r="331" spans="2:6" ht="12.75">
      <c r="B331" s="507"/>
      <c r="C331" s="507"/>
      <c r="D331" s="507"/>
      <c r="E331" s="507"/>
      <c r="F331" s="507"/>
    </row>
    <row r="332" spans="2:6" ht="12.75">
      <c r="B332" s="507"/>
      <c r="C332" s="507"/>
      <c r="D332" s="507"/>
      <c r="E332" s="507"/>
      <c r="F332" s="507"/>
    </row>
    <row r="333" spans="2:6" ht="12.75">
      <c r="B333" s="507"/>
      <c r="C333" s="507"/>
      <c r="D333" s="507"/>
      <c r="E333" s="507"/>
      <c r="F333" s="507"/>
    </row>
    <row r="334" spans="2:6" ht="12.75">
      <c r="B334" s="507"/>
      <c r="C334" s="507"/>
      <c r="D334" s="507"/>
      <c r="E334" s="507"/>
      <c r="F334" s="507"/>
    </row>
    <row r="335" spans="2:6" ht="12.75">
      <c r="B335" s="507"/>
      <c r="C335" s="507"/>
      <c r="D335" s="507"/>
      <c r="E335" s="507"/>
      <c r="F335" s="507"/>
    </row>
    <row r="336" spans="2:6" ht="12.75">
      <c r="B336" s="507"/>
      <c r="C336" s="507"/>
      <c r="D336" s="507"/>
      <c r="E336" s="507"/>
      <c r="F336" s="507"/>
    </row>
    <row r="337" spans="2:6" ht="12.75">
      <c r="B337" s="507"/>
      <c r="C337" s="507"/>
      <c r="D337" s="507"/>
      <c r="E337" s="507"/>
      <c r="F337" s="507"/>
    </row>
    <row r="338" spans="2:6" ht="12.75">
      <c r="B338" s="507"/>
      <c r="C338" s="507"/>
      <c r="D338" s="507"/>
      <c r="E338" s="507"/>
      <c r="F338" s="507"/>
    </row>
    <row r="339" spans="2:6" ht="12.75">
      <c r="B339" s="507"/>
      <c r="C339" s="507"/>
      <c r="D339" s="507"/>
      <c r="E339" s="507"/>
      <c r="F339" s="507"/>
    </row>
    <row r="340" spans="2:6" ht="12.75">
      <c r="B340" s="507"/>
      <c r="C340" s="507"/>
      <c r="D340" s="507"/>
      <c r="E340" s="507"/>
      <c r="F340" s="507"/>
    </row>
    <row r="341" spans="2:6" ht="12.75">
      <c r="B341" s="507"/>
      <c r="C341" s="507"/>
      <c r="D341" s="507"/>
      <c r="E341" s="507"/>
      <c r="F341" s="507"/>
    </row>
    <row r="342" spans="2:6" ht="12.75">
      <c r="B342" s="507"/>
      <c r="C342" s="507"/>
      <c r="D342" s="507"/>
      <c r="E342" s="507"/>
      <c r="F342" s="507"/>
    </row>
    <row r="343" spans="2:6" ht="12.75">
      <c r="B343" s="507"/>
      <c r="C343" s="507"/>
      <c r="D343" s="507"/>
      <c r="E343" s="507"/>
      <c r="F343" s="507"/>
    </row>
    <row r="344" spans="2:6" ht="12.75">
      <c r="B344" s="507"/>
      <c r="C344" s="507"/>
      <c r="D344" s="507"/>
      <c r="E344" s="507"/>
      <c r="F344" s="507"/>
    </row>
    <row r="345" spans="2:6" ht="12.75">
      <c r="B345" s="507"/>
      <c r="C345" s="507"/>
      <c r="D345" s="507"/>
      <c r="E345" s="507"/>
      <c r="F345" s="507"/>
    </row>
    <row r="346" spans="2:6" ht="12.75">
      <c r="B346" s="507"/>
      <c r="C346" s="507"/>
      <c r="D346" s="507"/>
      <c r="E346" s="507"/>
      <c r="F346" s="507"/>
    </row>
    <row r="347" spans="2:6" ht="12.75">
      <c r="B347" s="507"/>
      <c r="C347" s="507"/>
      <c r="D347" s="507"/>
      <c r="E347" s="507"/>
      <c r="F347" s="507"/>
    </row>
    <row r="348" spans="2:6" ht="12.75">
      <c r="B348" s="507"/>
      <c r="C348" s="507"/>
      <c r="D348" s="507"/>
      <c r="E348" s="507"/>
      <c r="F348" s="507"/>
    </row>
    <row r="349" spans="2:6" ht="12.75">
      <c r="B349" s="507"/>
      <c r="C349" s="507"/>
      <c r="D349" s="507"/>
      <c r="E349" s="507"/>
      <c r="F349" s="507"/>
    </row>
    <row r="350" spans="2:6" ht="12.75">
      <c r="B350" s="507"/>
      <c r="C350" s="507"/>
      <c r="D350" s="507"/>
      <c r="E350" s="507"/>
      <c r="F350" s="507"/>
    </row>
    <row r="351" spans="2:6" ht="12.75">
      <c r="B351" s="507"/>
      <c r="C351" s="507"/>
      <c r="D351" s="507"/>
      <c r="E351" s="507"/>
      <c r="F351" s="507"/>
    </row>
    <row r="352" spans="2:6" ht="12.75">
      <c r="B352" s="507"/>
      <c r="C352" s="507"/>
      <c r="D352" s="507"/>
      <c r="E352" s="507"/>
      <c r="F352" s="507"/>
    </row>
    <row r="353" spans="2:6" ht="12.75">
      <c r="B353" s="507"/>
      <c r="C353" s="507"/>
      <c r="D353" s="507"/>
      <c r="E353" s="507"/>
      <c r="F353" s="507"/>
    </row>
    <row r="354" spans="2:6" ht="12.75">
      <c r="B354" s="507"/>
      <c r="C354" s="507"/>
      <c r="D354" s="507"/>
      <c r="E354" s="507"/>
      <c r="F354" s="507"/>
    </row>
    <row r="355" spans="2:6" ht="12.75">
      <c r="B355" s="507"/>
      <c r="C355" s="507"/>
      <c r="D355" s="507"/>
      <c r="E355" s="507"/>
      <c r="F355" s="507"/>
    </row>
    <row r="356" spans="2:6" ht="12.75">
      <c r="B356" s="507"/>
      <c r="C356" s="507"/>
      <c r="D356" s="507"/>
      <c r="E356" s="507"/>
      <c r="F356" s="507"/>
    </row>
    <row r="357" spans="2:6" ht="12.75">
      <c r="B357" s="507"/>
      <c r="C357" s="507"/>
      <c r="D357" s="507"/>
      <c r="E357" s="507"/>
      <c r="F357" s="507"/>
    </row>
    <row r="358" spans="2:6" ht="12.75">
      <c r="B358" s="507"/>
      <c r="C358" s="507"/>
      <c r="D358" s="507"/>
      <c r="E358" s="507"/>
      <c r="F358" s="507"/>
    </row>
    <row r="359" spans="2:6" ht="12.75">
      <c r="B359" s="507"/>
      <c r="C359" s="507"/>
      <c r="D359" s="507"/>
      <c r="E359" s="507"/>
      <c r="F359" s="507"/>
    </row>
    <row r="360" spans="2:6" ht="12.75">
      <c r="B360" s="507"/>
      <c r="C360" s="507"/>
      <c r="D360" s="507"/>
      <c r="E360" s="507"/>
      <c r="F360" s="507"/>
    </row>
    <row r="361" spans="2:6" ht="12.75">
      <c r="B361" s="507"/>
      <c r="C361" s="507"/>
      <c r="D361" s="507"/>
      <c r="E361" s="507"/>
      <c r="F361" s="507"/>
    </row>
    <row r="362" spans="2:6" ht="12.75">
      <c r="B362" s="507"/>
      <c r="C362" s="507"/>
      <c r="D362" s="507"/>
      <c r="E362" s="507"/>
      <c r="F362" s="507"/>
    </row>
    <row r="363" spans="2:6" ht="12.75">
      <c r="B363" s="507"/>
      <c r="C363" s="507"/>
      <c r="D363" s="507"/>
      <c r="E363" s="507"/>
      <c r="F363" s="507"/>
    </row>
    <row r="364" spans="2:6" ht="12.75">
      <c r="B364" s="507"/>
      <c r="C364" s="507"/>
      <c r="D364" s="507"/>
      <c r="E364" s="507"/>
      <c r="F364" s="507"/>
    </row>
    <row r="365" spans="2:6" ht="12.75">
      <c r="B365" s="507"/>
      <c r="C365" s="507"/>
      <c r="D365" s="507"/>
      <c r="E365" s="507"/>
      <c r="F365" s="507"/>
    </row>
    <row r="366" spans="2:6" ht="12.75">
      <c r="B366" s="507"/>
      <c r="C366" s="507"/>
      <c r="D366" s="507"/>
      <c r="E366" s="507"/>
      <c r="F366" s="507"/>
    </row>
    <row r="367" spans="2:6" ht="12.75">
      <c r="B367" s="507"/>
      <c r="C367" s="507"/>
      <c r="D367" s="507"/>
      <c r="E367" s="507"/>
      <c r="F367" s="507"/>
    </row>
    <row r="368" spans="2:6" ht="12.75">
      <c r="B368" s="507"/>
      <c r="C368" s="507"/>
      <c r="D368" s="507"/>
      <c r="E368" s="507"/>
      <c r="F368" s="507"/>
    </row>
    <row r="369" spans="2:6" ht="12.75">
      <c r="B369" s="507"/>
      <c r="C369" s="507"/>
      <c r="D369" s="507"/>
      <c r="E369" s="507"/>
      <c r="F369" s="507"/>
    </row>
    <row r="370" spans="2:6" ht="12.75">
      <c r="B370" s="507"/>
      <c r="C370" s="507"/>
      <c r="D370" s="507"/>
      <c r="E370" s="507"/>
      <c r="F370" s="507"/>
    </row>
    <row r="371" spans="2:6" ht="12.75">
      <c r="B371" s="507"/>
      <c r="C371" s="507"/>
      <c r="D371" s="507"/>
      <c r="E371" s="507"/>
      <c r="F371" s="507"/>
    </row>
    <row r="372" spans="2:6" ht="12.75">
      <c r="B372" s="507"/>
      <c r="C372" s="507"/>
      <c r="D372" s="507"/>
      <c r="E372" s="507"/>
      <c r="F372" s="507"/>
    </row>
    <row r="373" spans="2:6" ht="12.75">
      <c r="B373" s="507"/>
      <c r="C373" s="507"/>
      <c r="D373" s="507"/>
      <c r="E373" s="507"/>
      <c r="F373" s="507"/>
    </row>
    <row r="374" spans="2:6" ht="12.75">
      <c r="B374" s="507"/>
      <c r="C374" s="507"/>
      <c r="D374" s="507"/>
      <c r="E374" s="507"/>
      <c r="F374" s="507"/>
    </row>
    <row r="375" spans="2:6" ht="12.75">
      <c r="B375" s="507"/>
      <c r="C375" s="507"/>
      <c r="D375" s="507"/>
      <c r="E375" s="507"/>
      <c r="F375" s="507"/>
    </row>
    <row r="376" spans="2:6" ht="12.75">
      <c r="B376" s="507"/>
      <c r="C376" s="507"/>
      <c r="D376" s="507"/>
      <c r="E376" s="507"/>
      <c r="F376" s="507"/>
    </row>
    <row r="377" spans="2:6" ht="12.75">
      <c r="B377" s="507"/>
      <c r="C377" s="507"/>
      <c r="D377" s="507"/>
      <c r="E377" s="507"/>
      <c r="F377" s="507"/>
    </row>
    <row r="378" spans="2:6" ht="12.75">
      <c r="B378" s="507"/>
      <c r="C378" s="507"/>
      <c r="D378" s="507"/>
      <c r="E378" s="507"/>
      <c r="F378" s="507"/>
    </row>
    <row r="379" spans="2:6" ht="12.75">
      <c r="B379" s="507"/>
      <c r="C379" s="507"/>
      <c r="D379" s="507"/>
      <c r="E379" s="507"/>
      <c r="F379" s="507"/>
    </row>
    <row r="380" spans="2:6" ht="12.75">
      <c r="B380" s="507"/>
      <c r="C380" s="507"/>
      <c r="D380" s="507"/>
      <c r="E380" s="507"/>
      <c r="F380" s="507"/>
    </row>
    <row r="381" spans="2:6" ht="12.75">
      <c r="B381" s="507"/>
      <c r="C381" s="507"/>
      <c r="D381" s="507"/>
      <c r="E381" s="507"/>
      <c r="F381" s="507"/>
    </row>
    <row r="382" spans="2:6" ht="12.75">
      <c r="B382" s="507"/>
      <c r="C382" s="507"/>
      <c r="D382" s="507"/>
      <c r="E382" s="507"/>
      <c r="F382" s="507"/>
    </row>
    <row r="383" spans="2:6" ht="12.75">
      <c r="B383" s="507"/>
      <c r="C383" s="507"/>
      <c r="D383" s="507"/>
      <c r="E383" s="507"/>
      <c r="F383" s="507"/>
    </row>
    <row r="384" spans="2:6" ht="12.75">
      <c r="B384" s="507"/>
      <c r="C384" s="507"/>
      <c r="D384" s="507"/>
      <c r="E384" s="507"/>
      <c r="F384" s="507"/>
    </row>
    <row r="385" spans="2:6" ht="12.75">
      <c r="B385" s="507"/>
      <c r="C385" s="507"/>
      <c r="D385" s="507"/>
      <c r="E385" s="507"/>
      <c r="F385" s="507"/>
    </row>
    <row r="386" spans="2:6" ht="12.75">
      <c r="B386" s="507"/>
      <c r="C386" s="507"/>
      <c r="D386" s="507"/>
      <c r="E386" s="507"/>
      <c r="F386" s="507"/>
    </row>
    <row r="387" spans="2:6" ht="12.75">
      <c r="B387" s="507"/>
      <c r="C387" s="507"/>
      <c r="D387" s="507"/>
      <c r="E387" s="507"/>
      <c r="F387" s="507"/>
    </row>
    <row r="388" spans="2:6" ht="12.75">
      <c r="B388" s="507"/>
      <c r="C388" s="507"/>
      <c r="D388" s="507"/>
      <c r="E388" s="507"/>
      <c r="F388" s="507"/>
    </row>
    <row r="389" spans="2:6" ht="12.75">
      <c r="B389" s="507"/>
      <c r="C389" s="507"/>
      <c r="D389" s="507"/>
      <c r="E389" s="507"/>
      <c r="F389" s="507"/>
    </row>
    <row r="390" spans="2:6" ht="12.75">
      <c r="B390" s="507"/>
      <c r="C390" s="507"/>
      <c r="D390" s="507"/>
      <c r="E390" s="507"/>
      <c r="F390" s="507"/>
    </row>
    <row r="391" spans="2:6" ht="12.75">
      <c r="B391" s="507"/>
      <c r="C391" s="507"/>
      <c r="D391" s="507"/>
      <c r="E391" s="507"/>
      <c r="F391" s="507"/>
    </row>
    <row r="392" spans="2:6" ht="12.75">
      <c r="B392" s="507"/>
      <c r="C392" s="507"/>
      <c r="D392" s="507"/>
      <c r="E392" s="507"/>
      <c r="F392" s="507"/>
    </row>
    <row r="393" spans="2:6" ht="12.75">
      <c r="B393" s="507"/>
      <c r="C393" s="507"/>
      <c r="D393" s="507"/>
      <c r="E393" s="507"/>
      <c r="F393" s="507"/>
    </row>
    <row r="394" spans="2:6" ht="12.75">
      <c r="B394" s="507"/>
      <c r="C394" s="507"/>
      <c r="D394" s="507"/>
      <c r="E394" s="507"/>
      <c r="F394" s="507"/>
    </row>
    <row r="395" spans="2:6" ht="12.75">
      <c r="B395" s="507"/>
      <c r="C395" s="507"/>
      <c r="D395" s="507"/>
      <c r="E395" s="507"/>
      <c r="F395" s="507"/>
    </row>
    <row r="396" spans="2:6" ht="12.75">
      <c r="B396" s="507"/>
      <c r="C396" s="507"/>
      <c r="D396" s="507"/>
      <c r="E396" s="507"/>
      <c r="F396" s="507"/>
    </row>
    <row r="397" spans="2:6" ht="12.75">
      <c r="B397" s="507"/>
      <c r="C397" s="507"/>
      <c r="D397" s="507"/>
      <c r="E397" s="507"/>
      <c r="F397" s="507"/>
    </row>
    <row r="398" spans="2:6" ht="12.75">
      <c r="B398" s="507"/>
      <c r="C398" s="507"/>
      <c r="D398" s="507"/>
      <c r="E398" s="507"/>
      <c r="F398" s="507"/>
    </row>
    <row r="399" spans="2:6" ht="12.75">
      <c r="B399" s="507"/>
      <c r="C399" s="507"/>
      <c r="D399" s="507"/>
      <c r="E399" s="507"/>
      <c r="F399" s="507"/>
    </row>
    <row r="400" spans="2:6" ht="12.75">
      <c r="B400" s="507"/>
      <c r="C400" s="507"/>
      <c r="D400" s="507"/>
      <c r="E400" s="507"/>
      <c r="F400" s="507"/>
    </row>
    <row r="401" spans="2:6" ht="12.75">
      <c r="B401" s="507"/>
      <c r="C401" s="507"/>
      <c r="D401" s="507"/>
      <c r="E401" s="507"/>
      <c r="F401" s="507"/>
    </row>
    <row r="402" spans="2:6" ht="12.75">
      <c r="B402" s="507"/>
      <c r="C402" s="507"/>
      <c r="D402" s="507"/>
      <c r="E402" s="507"/>
      <c r="F402" s="507"/>
    </row>
    <row r="403" spans="2:6" ht="12.75">
      <c r="B403" s="507"/>
      <c r="C403" s="507"/>
      <c r="D403" s="507"/>
      <c r="E403" s="507"/>
      <c r="F403" s="507"/>
    </row>
    <row r="404" spans="2:6" ht="12.75">
      <c r="B404" s="507"/>
      <c r="C404" s="507"/>
      <c r="D404" s="507"/>
      <c r="E404" s="507"/>
      <c r="F404" s="507"/>
    </row>
    <row r="405" spans="2:6" ht="12.75">
      <c r="B405" s="507"/>
      <c r="C405" s="507"/>
      <c r="D405" s="507"/>
      <c r="E405" s="507"/>
      <c r="F405" s="507"/>
    </row>
    <row r="406" spans="2:6" ht="12.75">
      <c r="B406" s="507"/>
      <c r="C406" s="507"/>
      <c r="D406" s="507"/>
      <c r="E406" s="507"/>
      <c r="F406" s="507"/>
    </row>
    <row r="407" spans="2:6" ht="12.75">
      <c r="B407" s="507"/>
      <c r="C407" s="507"/>
      <c r="D407" s="507"/>
      <c r="E407" s="507"/>
      <c r="F407" s="507"/>
    </row>
    <row r="408" spans="2:6" ht="12.75">
      <c r="B408" s="507"/>
      <c r="C408" s="507"/>
      <c r="D408" s="507"/>
      <c r="E408" s="507"/>
      <c r="F408" s="507"/>
    </row>
    <row r="409" spans="2:6" ht="12.75">
      <c r="B409" s="507"/>
      <c r="C409" s="507"/>
      <c r="D409" s="507"/>
      <c r="E409" s="507"/>
      <c r="F409" s="507"/>
    </row>
    <row r="410" spans="2:6" ht="12.75">
      <c r="B410" s="507"/>
      <c r="C410" s="507"/>
      <c r="D410" s="507"/>
      <c r="E410" s="507"/>
      <c r="F410" s="507"/>
    </row>
    <row r="411" spans="2:6" ht="12.75">
      <c r="B411" s="507"/>
      <c r="C411" s="507"/>
      <c r="D411" s="507"/>
      <c r="E411" s="507"/>
      <c r="F411" s="507"/>
    </row>
    <row r="412" spans="2:6" ht="12.75">
      <c r="B412" s="507"/>
      <c r="C412" s="507"/>
      <c r="D412" s="507"/>
      <c r="E412" s="507"/>
      <c r="F412" s="507"/>
    </row>
    <row r="413" spans="2:6" ht="12.75">
      <c r="B413" s="507"/>
      <c r="C413" s="507"/>
      <c r="D413" s="507"/>
      <c r="E413" s="507"/>
      <c r="F413" s="507"/>
    </row>
    <row r="414" spans="2:6" ht="12.75">
      <c r="B414" s="507"/>
      <c r="C414" s="507"/>
      <c r="D414" s="507"/>
      <c r="E414" s="507"/>
      <c r="F414" s="507"/>
    </row>
    <row r="415" spans="2:6" ht="12.75">
      <c r="B415" s="507"/>
      <c r="C415" s="507"/>
      <c r="D415" s="507"/>
      <c r="E415" s="507"/>
      <c r="F415" s="507"/>
    </row>
    <row r="416" spans="2:6" ht="12.75">
      <c r="B416" s="507"/>
      <c r="C416" s="507"/>
      <c r="D416" s="507"/>
      <c r="E416" s="507"/>
      <c r="F416" s="507"/>
    </row>
    <row r="417" spans="2:6" ht="12.75">
      <c r="B417" s="507"/>
      <c r="C417" s="507"/>
      <c r="D417" s="507"/>
      <c r="E417" s="507"/>
      <c r="F417" s="507"/>
    </row>
    <row r="418" spans="2:6" ht="12.75">
      <c r="B418" s="507"/>
      <c r="C418" s="507"/>
      <c r="D418" s="507"/>
      <c r="E418" s="507"/>
      <c r="F418" s="507"/>
    </row>
    <row r="419" spans="2:6" ht="12.75">
      <c r="B419" s="507"/>
      <c r="C419" s="507"/>
      <c r="D419" s="507"/>
      <c r="E419" s="507"/>
      <c r="F419" s="507"/>
    </row>
    <row r="420" spans="2:6" ht="12.75">
      <c r="B420" s="507"/>
      <c r="C420" s="507"/>
      <c r="D420" s="507"/>
      <c r="E420" s="507"/>
      <c r="F420" s="507"/>
    </row>
    <row r="421" spans="2:6" ht="12.75">
      <c r="B421" s="507"/>
      <c r="C421" s="507"/>
      <c r="D421" s="507"/>
      <c r="E421" s="507"/>
      <c r="F421" s="507"/>
    </row>
    <row r="422" spans="2:6" ht="12.75">
      <c r="B422" s="507"/>
      <c r="C422" s="507"/>
      <c r="D422" s="507"/>
      <c r="E422" s="507"/>
      <c r="F422" s="507"/>
    </row>
    <row r="423" spans="2:6" ht="12.75">
      <c r="B423" s="507"/>
      <c r="C423" s="507"/>
      <c r="D423" s="507"/>
      <c r="E423" s="507"/>
      <c r="F423" s="507"/>
    </row>
    <row r="424" spans="2:6" ht="12.75">
      <c r="B424" s="507"/>
      <c r="C424" s="507"/>
      <c r="D424" s="507"/>
      <c r="E424" s="507"/>
      <c r="F424" s="507"/>
    </row>
    <row r="425" spans="2:6" ht="12.75">
      <c r="B425" s="507"/>
      <c r="C425" s="507"/>
      <c r="D425" s="507"/>
      <c r="E425" s="507"/>
      <c r="F425" s="507"/>
    </row>
    <row r="426" spans="2:6" ht="12.75">
      <c r="B426" s="507"/>
      <c r="C426" s="507"/>
      <c r="D426" s="507"/>
      <c r="E426" s="507"/>
      <c r="F426" s="507"/>
    </row>
    <row r="427" spans="2:6" ht="12.75">
      <c r="B427" s="507"/>
      <c r="C427" s="507"/>
      <c r="D427" s="507"/>
      <c r="E427" s="507"/>
      <c r="F427" s="507"/>
    </row>
    <row r="428" spans="2:6" ht="12.75">
      <c r="B428" s="507"/>
      <c r="C428" s="507"/>
      <c r="D428" s="507"/>
      <c r="E428" s="507"/>
      <c r="F428" s="507"/>
    </row>
    <row r="429" spans="2:6" ht="12.75">
      <c r="B429" s="507"/>
      <c r="C429" s="507"/>
      <c r="D429" s="507"/>
      <c r="E429" s="507"/>
      <c r="F429" s="507"/>
    </row>
    <row r="430" spans="2:6" ht="12.75">
      <c r="B430" s="507"/>
      <c r="C430" s="507"/>
      <c r="D430" s="507"/>
      <c r="E430" s="507"/>
      <c r="F430" s="507"/>
    </row>
    <row r="431" spans="2:6" ht="12.75">
      <c r="B431" s="507"/>
      <c r="C431" s="507"/>
      <c r="D431" s="507"/>
      <c r="E431" s="507"/>
      <c r="F431" s="507"/>
    </row>
    <row r="432" spans="2:6" ht="12.75">
      <c r="B432" s="507"/>
      <c r="C432" s="507"/>
      <c r="D432" s="507"/>
      <c r="E432" s="507"/>
      <c r="F432" s="507"/>
    </row>
    <row r="433" spans="2:6" ht="12.75">
      <c r="B433" s="507"/>
      <c r="C433" s="507"/>
      <c r="D433" s="507"/>
      <c r="E433" s="507"/>
      <c r="F433" s="507"/>
    </row>
    <row r="434" spans="2:6" ht="12.75">
      <c r="B434" s="507"/>
      <c r="C434" s="507"/>
      <c r="D434" s="507"/>
      <c r="E434" s="507"/>
      <c r="F434" s="507"/>
    </row>
    <row r="435" spans="2:6" ht="12.75">
      <c r="B435" s="507"/>
      <c r="C435" s="507"/>
      <c r="D435" s="507"/>
      <c r="E435" s="507"/>
      <c r="F435" s="507"/>
    </row>
    <row r="436" spans="2:6" ht="12.75">
      <c r="B436" s="507"/>
      <c r="C436" s="507"/>
      <c r="D436" s="507"/>
      <c r="E436" s="507"/>
      <c r="F436" s="507"/>
    </row>
    <row r="437" spans="2:6" ht="12.75">
      <c r="B437" s="507"/>
      <c r="C437" s="507"/>
      <c r="D437" s="507"/>
      <c r="E437" s="507"/>
      <c r="F437" s="507"/>
    </row>
    <row r="438" spans="2:6" ht="12.75">
      <c r="B438" s="507"/>
      <c r="C438" s="507"/>
      <c r="D438" s="507"/>
      <c r="E438" s="507"/>
      <c r="F438" s="507"/>
    </row>
    <row r="439" spans="2:6" ht="12.75">
      <c r="B439" s="507"/>
      <c r="C439" s="507"/>
      <c r="D439" s="507"/>
      <c r="E439" s="507"/>
      <c r="F439" s="507"/>
    </row>
    <row r="440" spans="2:6" ht="12.75">
      <c r="B440" s="507"/>
      <c r="C440" s="507"/>
      <c r="D440" s="507"/>
      <c r="E440" s="507"/>
      <c r="F440" s="507"/>
    </row>
    <row r="441" spans="2:6" ht="12.75">
      <c r="B441" s="507"/>
      <c r="C441" s="507"/>
      <c r="D441" s="507"/>
      <c r="E441" s="507"/>
      <c r="F441" s="507"/>
    </row>
    <row r="442" spans="2:6" ht="12.75">
      <c r="B442" s="507"/>
      <c r="C442" s="507"/>
      <c r="D442" s="507"/>
      <c r="E442" s="507"/>
      <c r="F442" s="507"/>
    </row>
    <row r="443" spans="2:6" ht="12.75">
      <c r="B443" s="507"/>
      <c r="C443" s="507"/>
      <c r="D443" s="507"/>
      <c r="E443" s="507"/>
      <c r="F443" s="507"/>
    </row>
    <row r="444" spans="2:6" ht="12.75">
      <c r="B444" s="507"/>
      <c r="C444" s="507"/>
      <c r="D444" s="507"/>
      <c r="E444" s="507"/>
      <c r="F444" s="507"/>
    </row>
    <row r="445" spans="2:6" ht="12.75">
      <c r="B445" s="507"/>
      <c r="C445" s="507"/>
      <c r="D445" s="507"/>
      <c r="E445" s="507"/>
      <c r="F445" s="507"/>
    </row>
    <row r="446" spans="2:6" ht="12.75">
      <c r="B446" s="507"/>
      <c r="C446" s="507"/>
      <c r="D446" s="507"/>
      <c r="E446" s="507"/>
      <c r="F446" s="507"/>
    </row>
    <row r="447" spans="2:6" ht="12.75">
      <c r="B447" s="507"/>
      <c r="C447" s="507"/>
      <c r="D447" s="507"/>
      <c r="E447" s="507"/>
      <c r="F447" s="507"/>
    </row>
    <row r="448" spans="2:6" ht="12.75">
      <c r="B448" s="507"/>
      <c r="C448" s="507"/>
      <c r="D448" s="507"/>
      <c r="E448" s="507"/>
      <c r="F448" s="507"/>
    </row>
    <row r="449" spans="2:6" ht="12.75">
      <c r="B449" s="507"/>
      <c r="C449" s="507"/>
      <c r="D449" s="507"/>
      <c r="E449" s="507"/>
      <c r="F449" s="507"/>
    </row>
    <row r="450" spans="2:6" ht="12.75">
      <c r="B450" s="507"/>
      <c r="C450" s="507"/>
      <c r="D450" s="507"/>
      <c r="E450" s="507"/>
      <c r="F450" s="507"/>
    </row>
    <row r="451" spans="2:6" ht="12.75">
      <c r="B451" s="507"/>
      <c r="C451" s="507"/>
      <c r="D451" s="507"/>
      <c r="E451" s="507"/>
      <c r="F451" s="507"/>
    </row>
    <row r="452" spans="2:6" ht="12.75">
      <c r="B452" s="507"/>
      <c r="C452" s="507"/>
      <c r="D452" s="507"/>
      <c r="E452" s="507"/>
      <c r="F452" s="507"/>
    </row>
    <row r="453" spans="2:6" ht="12.75">
      <c r="B453" s="507"/>
      <c r="C453" s="507"/>
      <c r="D453" s="507"/>
      <c r="E453" s="507"/>
      <c r="F453" s="507"/>
    </row>
    <row r="454" spans="2:6" ht="12.75">
      <c r="B454" s="507"/>
      <c r="C454" s="507"/>
      <c r="D454" s="507"/>
      <c r="E454" s="507"/>
      <c r="F454" s="507"/>
    </row>
    <row r="455" spans="2:6" ht="12.75">
      <c r="B455" s="507"/>
      <c r="C455" s="507"/>
      <c r="D455" s="507"/>
      <c r="E455" s="507"/>
      <c r="F455" s="507"/>
    </row>
    <row r="456" spans="2:6" ht="12.75">
      <c r="B456" s="507"/>
      <c r="C456" s="507"/>
      <c r="D456" s="507"/>
      <c r="E456" s="507"/>
      <c r="F456" s="507"/>
    </row>
    <row r="457" spans="2:6" ht="12.75">
      <c r="B457" s="507"/>
      <c r="C457" s="507"/>
      <c r="D457" s="507"/>
      <c r="E457" s="507"/>
      <c r="F457" s="507"/>
    </row>
    <row r="458" spans="2:6" ht="12.75">
      <c r="B458" s="507"/>
      <c r="C458" s="507"/>
      <c r="D458" s="507"/>
      <c r="E458" s="507"/>
      <c r="F458" s="507"/>
    </row>
    <row r="459" spans="2:6" ht="12.75">
      <c r="B459" s="507"/>
      <c r="C459" s="507"/>
      <c r="D459" s="507"/>
      <c r="E459" s="507"/>
      <c r="F459" s="507"/>
    </row>
    <row r="460" spans="2:6" ht="12.75">
      <c r="B460" s="507"/>
      <c r="C460" s="507"/>
      <c r="D460" s="507"/>
      <c r="E460" s="507"/>
      <c r="F460" s="507"/>
    </row>
    <row r="461" spans="2:6" ht="12.75">
      <c r="B461" s="507"/>
      <c r="C461" s="507"/>
      <c r="D461" s="507"/>
      <c r="E461" s="507"/>
      <c r="F461" s="507"/>
    </row>
    <row r="462" spans="2:6" ht="12.75">
      <c r="B462" s="507"/>
      <c r="C462" s="507"/>
      <c r="D462" s="507"/>
      <c r="E462" s="507"/>
      <c r="F462" s="507"/>
    </row>
    <row r="463" spans="2:6" ht="12.75">
      <c r="B463" s="507"/>
      <c r="C463" s="507"/>
      <c r="D463" s="507"/>
      <c r="E463" s="507"/>
      <c r="F463" s="507"/>
    </row>
    <row r="464" spans="2:6" ht="12.75">
      <c r="B464" s="507"/>
      <c r="C464" s="507"/>
      <c r="D464" s="507"/>
      <c r="E464" s="507"/>
      <c r="F464" s="507"/>
    </row>
    <row r="465" spans="2:6" ht="12.75">
      <c r="B465" s="507"/>
      <c r="C465" s="507"/>
      <c r="D465" s="507"/>
      <c r="E465" s="507"/>
      <c r="F465" s="507"/>
    </row>
    <row r="466" spans="2:6" ht="12.75">
      <c r="B466" s="507"/>
      <c r="C466" s="507"/>
      <c r="D466" s="507"/>
      <c r="E466" s="507"/>
      <c r="F466" s="507"/>
    </row>
    <row r="467" spans="2:6" ht="12.75">
      <c r="B467" s="507"/>
      <c r="C467" s="507"/>
      <c r="D467" s="507"/>
      <c r="E467" s="507"/>
      <c r="F467" s="507"/>
    </row>
    <row r="468" spans="2:6" ht="12.75">
      <c r="B468" s="507"/>
      <c r="C468" s="507"/>
      <c r="D468" s="507"/>
      <c r="E468" s="507"/>
      <c r="F468" s="507"/>
    </row>
    <row r="469" spans="2:6" ht="12.75">
      <c r="B469" s="507"/>
      <c r="C469" s="507"/>
      <c r="D469" s="507"/>
      <c r="E469" s="507"/>
      <c r="F469" s="507"/>
    </row>
    <row r="470" spans="2:6" ht="12.75">
      <c r="B470" s="507"/>
      <c r="C470" s="507"/>
      <c r="D470" s="507"/>
      <c r="E470" s="507"/>
      <c r="F470" s="507"/>
    </row>
    <row r="471" spans="2:6" ht="12.75">
      <c r="B471" s="507"/>
      <c r="C471" s="507"/>
      <c r="D471" s="507"/>
      <c r="E471" s="507"/>
      <c r="F471" s="507"/>
    </row>
    <row r="472" spans="2:6" ht="12.75">
      <c r="B472" s="507"/>
      <c r="C472" s="507"/>
      <c r="D472" s="507"/>
      <c r="E472" s="507"/>
      <c r="F472" s="507"/>
    </row>
    <row r="473" spans="2:6" ht="12.75">
      <c r="B473" s="507"/>
      <c r="C473" s="507"/>
      <c r="D473" s="507"/>
      <c r="E473" s="507"/>
      <c r="F473" s="507"/>
    </row>
    <row r="474" spans="2:6" ht="12.75">
      <c r="B474" s="507"/>
      <c r="C474" s="507"/>
      <c r="D474" s="507"/>
      <c r="E474" s="507"/>
      <c r="F474" s="507"/>
    </row>
    <row r="475" spans="2:6" ht="12.75">
      <c r="B475" s="507"/>
      <c r="C475" s="507"/>
      <c r="D475" s="507"/>
      <c r="E475" s="507"/>
      <c r="F475" s="507"/>
    </row>
    <row r="476" spans="2:6" ht="12.75">
      <c r="B476" s="507"/>
      <c r="C476" s="507"/>
      <c r="D476" s="507"/>
      <c r="E476" s="507"/>
      <c r="F476" s="507"/>
    </row>
    <row r="477" spans="2:6" ht="12.75">
      <c r="B477" s="507"/>
      <c r="C477" s="507"/>
      <c r="D477" s="507"/>
      <c r="E477" s="507"/>
      <c r="F477" s="507"/>
    </row>
    <row r="478" spans="2:6" ht="12.75">
      <c r="B478" s="507"/>
      <c r="C478" s="507"/>
      <c r="D478" s="507"/>
      <c r="E478" s="507"/>
      <c r="F478" s="507"/>
    </row>
    <row r="479" spans="2:6" ht="12.75">
      <c r="B479" s="507"/>
      <c r="C479" s="507"/>
      <c r="D479" s="507"/>
      <c r="E479" s="507"/>
      <c r="F479" s="507"/>
    </row>
    <row r="480" spans="2:6" ht="12.75">
      <c r="B480" s="507"/>
      <c r="C480" s="507"/>
      <c r="D480" s="507"/>
      <c r="E480" s="507"/>
      <c r="F480" s="507"/>
    </row>
    <row r="481" spans="2:6" ht="12.75">
      <c r="B481" s="507"/>
      <c r="C481" s="507"/>
      <c r="D481" s="507"/>
      <c r="E481" s="507"/>
      <c r="F481" s="507"/>
    </row>
    <row r="482" spans="2:6" ht="12.75">
      <c r="B482" s="507"/>
      <c r="C482" s="507"/>
      <c r="D482" s="507"/>
      <c r="E482" s="507"/>
      <c r="F482" s="507"/>
    </row>
    <row r="483" spans="2:6" ht="12.75">
      <c r="B483" s="507"/>
      <c r="C483" s="507"/>
      <c r="D483" s="507"/>
      <c r="E483" s="507"/>
      <c r="F483" s="507"/>
    </row>
    <row r="484" spans="2:6" ht="12.75">
      <c r="B484" s="507"/>
      <c r="C484" s="507"/>
      <c r="D484" s="507"/>
      <c r="E484" s="507"/>
      <c r="F484" s="507"/>
    </row>
    <row r="485" spans="2:6" ht="12.75">
      <c r="B485" s="507"/>
      <c r="C485" s="507"/>
      <c r="D485" s="507"/>
      <c r="E485" s="507"/>
      <c r="F485" s="507"/>
    </row>
    <row r="486" spans="2:6" ht="12.75">
      <c r="B486" s="507"/>
      <c r="C486" s="507"/>
      <c r="D486" s="507"/>
      <c r="E486" s="507"/>
      <c r="F486" s="507"/>
    </row>
    <row r="487" spans="2:6" ht="12.75">
      <c r="B487" s="507"/>
      <c r="C487" s="507"/>
      <c r="D487" s="507"/>
      <c r="E487" s="507"/>
      <c r="F487" s="507"/>
    </row>
    <row r="488" spans="2:6" ht="12.75">
      <c r="B488" s="507"/>
      <c r="C488" s="507"/>
      <c r="D488" s="507"/>
      <c r="E488" s="507"/>
      <c r="F488" s="507"/>
    </row>
    <row r="489" spans="2:6" ht="12.75">
      <c r="B489" s="507"/>
      <c r="C489" s="507"/>
      <c r="D489" s="507"/>
      <c r="E489" s="507"/>
      <c r="F489" s="507"/>
    </row>
    <row r="490" spans="2:6" ht="12.75">
      <c r="B490" s="507"/>
      <c r="C490" s="507"/>
      <c r="D490" s="507"/>
      <c r="E490" s="507"/>
      <c r="F490" s="507"/>
    </row>
    <row r="491" spans="2:6" ht="12.75">
      <c r="B491" s="507"/>
      <c r="C491" s="507"/>
      <c r="D491" s="507"/>
      <c r="E491" s="507"/>
      <c r="F491" s="507"/>
    </row>
    <row r="492" spans="2:6" ht="12.75">
      <c r="B492" s="507"/>
      <c r="C492" s="507"/>
      <c r="D492" s="507"/>
      <c r="E492" s="507"/>
      <c r="F492" s="507"/>
    </row>
    <row r="493" spans="2:6" ht="12.75">
      <c r="B493" s="507"/>
      <c r="C493" s="507"/>
      <c r="D493" s="507"/>
      <c r="E493" s="507"/>
      <c r="F493" s="507"/>
    </row>
    <row r="494" spans="2:6" ht="12.75">
      <c r="B494" s="507"/>
      <c r="C494" s="507"/>
      <c r="D494" s="507"/>
      <c r="E494" s="507"/>
      <c r="F494" s="507"/>
    </row>
    <row r="495" spans="2:6" ht="12.75">
      <c r="B495" s="507"/>
      <c r="C495" s="507"/>
      <c r="D495" s="507"/>
      <c r="E495" s="507"/>
      <c r="F495" s="507"/>
    </row>
    <row r="496" spans="2:6" ht="12.75">
      <c r="B496" s="507"/>
      <c r="C496" s="507"/>
      <c r="D496" s="507"/>
      <c r="E496" s="507"/>
      <c r="F496" s="507"/>
    </row>
    <row r="497" spans="2:6" ht="12.75">
      <c r="B497" s="507"/>
      <c r="C497" s="507"/>
      <c r="D497" s="507"/>
      <c r="E497" s="507"/>
      <c r="F497" s="507"/>
    </row>
    <row r="498" spans="2:6" ht="12.75">
      <c r="B498" s="507"/>
      <c r="C498" s="507"/>
      <c r="D498" s="507"/>
      <c r="E498" s="507"/>
      <c r="F498" s="507"/>
    </row>
    <row r="499" spans="2:6" ht="12.75">
      <c r="B499" s="507"/>
      <c r="C499" s="507"/>
      <c r="D499" s="507"/>
      <c r="E499" s="507"/>
      <c r="F499" s="507"/>
    </row>
    <row r="500" spans="2:6" ht="12.75">
      <c r="B500" s="507"/>
      <c r="C500" s="507"/>
      <c r="D500" s="507"/>
      <c r="E500" s="507"/>
      <c r="F500" s="507"/>
    </row>
    <row r="501" spans="2:6" ht="12.75">
      <c r="B501" s="507"/>
      <c r="C501" s="507"/>
      <c r="D501" s="507"/>
      <c r="E501" s="507"/>
      <c r="F501" s="507"/>
    </row>
    <row r="502" spans="2:6" ht="12.75">
      <c r="B502" s="507"/>
      <c r="C502" s="507"/>
      <c r="D502" s="507"/>
      <c r="E502" s="507"/>
      <c r="F502" s="507"/>
    </row>
    <row r="503" spans="2:6" ht="12.75">
      <c r="B503" s="507"/>
      <c r="C503" s="507"/>
      <c r="D503" s="507"/>
      <c r="E503" s="507"/>
      <c r="F503" s="507"/>
    </row>
    <row r="504" spans="2:6" ht="12.75">
      <c r="B504" s="507"/>
      <c r="C504" s="507"/>
      <c r="D504" s="507"/>
      <c r="E504" s="507"/>
      <c r="F504" s="507"/>
    </row>
    <row r="505" spans="2:6" ht="12.75">
      <c r="B505" s="507"/>
      <c r="C505" s="507"/>
      <c r="D505" s="507"/>
      <c r="E505" s="507"/>
      <c r="F505" s="507"/>
    </row>
    <row r="506" spans="2:6" ht="12.75">
      <c r="B506" s="507"/>
      <c r="C506" s="507"/>
      <c r="D506" s="507"/>
      <c r="E506" s="507"/>
      <c r="F506" s="507"/>
    </row>
    <row r="507" spans="2:6" ht="12.75">
      <c r="B507" s="507"/>
      <c r="C507" s="507"/>
      <c r="D507" s="507"/>
      <c r="E507" s="507"/>
      <c r="F507" s="507"/>
    </row>
    <row r="508" spans="2:6" ht="12.75">
      <c r="B508" s="507"/>
      <c r="C508" s="507"/>
      <c r="D508" s="507"/>
      <c r="E508" s="507"/>
      <c r="F508" s="507"/>
    </row>
    <row r="509" spans="2:6" ht="12.75">
      <c r="B509" s="507"/>
      <c r="C509" s="507"/>
      <c r="D509" s="507"/>
      <c r="E509" s="507"/>
      <c r="F509" s="507"/>
    </row>
    <row r="510" spans="2:6" ht="12.75">
      <c r="B510" s="507"/>
      <c r="C510" s="507"/>
      <c r="D510" s="507"/>
      <c r="E510" s="507"/>
      <c r="F510" s="507"/>
    </row>
    <row r="511" spans="2:6" ht="12.75">
      <c r="B511" s="507"/>
      <c r="C511" s="507"/>
      <c r="D511" s="507"/>
      <c r="E511" s="507"/>
      <c r="F511" s="507"/>
    </row>
    <row r="512" spans="2:6" ht="12.75">
      <c r="B512" s="507"/>
      <c r="C512" s="507"/>
      <c r="D512" s="507"/>
      <c r="E512" s="507"/>
      <c r="F512" s="507"/>
    </row>
    <row r="513" spans="2:6" ht="12.75">
      <c r="B513" s="507"/>
      <c r="C513" s="507"/>
      <c r="D513" s="507"/>
      <c r="E513" s="507"/>
      <c r="F513" s="507"/>
    </row>
    <row r="514" spans="2:6" ht="12.75">
      <c r="B514" s="507"/>
      <c r="C514" s="507"/>
      <c r="D514" s="507"/>
      <c r="E514" s="507"/>
      <c r="F514" s="507"/>
    </row>
    <row r="515" spans="2:6" ht="12.75">
      <c r="B515" s="507"/>
      <c r="C515" s="507"/>
      <c r="D515" s="507"/>
      <c r="E515" s="507"/>
      <c r="F515" s="507"/>
    </row>
    <row r="516" spans="2:6" ht="12.75">
      <c r="B516" s="507"/>
      <c r="C516" s="507"/>
      <c r="D516" s="507"/>
      <c r="E516" s="507"/>
      <c r="F516" s="507"/>
    </row>
    <row r="517" spans="2:6" ht="12.75">
      <c r="B517" s="507"/>
      <c r="C517" s="507"/>
      <c r="D517" s="507"/>
      <c r="E517" s="507"/>
      <c r="F517" s="507"/>
    </row>
    <row r="518" spans="2:6" ht="12.75">
      <c r="B518" s="507"/>
      <c r="C518" s="507"/>
      <c r="D518" s="507"/>
      <c r="E518" s="507"/>
      <c r="F518" s="507"/>
    </row>
    <row r="519" spans="2:6" ht="12.75">
      <c r="B519" s="507"/>
      <c r="C519" s="507"/>
      <c r="D519" s="507"/>
      <c r="E519" s="507"/>
      <c r="F519" s="507"/>
    </row>
    <row r="520" spans="2:6" ht="12.75">
      <c r="B520" s="507"/>
      <c r="C520" s="507"/>
      <c r="D520" s="507"/>
      <c r="E520" s="507"/>
      <c r="F520" s="507"/>
    </row>
    <row r="521" spans="2:6" ht="12.75">
      <c r="B521" s="507"/>
      <c r="C521" s="507"/>
      <c r="D521" s="507"/>
      <c r="E521" s="507"/>
      <c r="F521" s="507"/>
    </row>
    <row r="522" spans="2:6" ht="12.75">
      <c r="B522" s="507"/>
      <c r="C522" s="507"/>
      <c r="D522" s="507"/>
      <c r="E522" s="507"/>
      <c r="F522" s="507"/>
    </row>
    <row r="523" spans="2:6" ht="12.75">
      <c r="B523" s="507"/>
      <c r="C523" s="507"/>
      <c r="D523" s="507"/>
      <c r="E523" s="507"/>
      <c r="F523" s="507"/>
    </row>
    <row r="524" spans="2:6" ht="12.75">
      <c r="B524" s="507"/>
      <c r="C524" s="507"/>
      <c r="D524" s="507"/>
      <c r="E524" s="507"/>
      <c r="F524" s="507"/>
    </row>
    <row r="525" spans="2:6" ht="12.75">
      <c r="B525" s="507"/>
      <c r="C525" s="507"/>
      <c r="D525" s="507"/>
      <c r="E525" s="507"/>
      <c r="F525" s="507"/>
    </row>
    <row r="526" spans="2:6" ht="12.75">
      <c r="B526" s="507"/>
      <c r="C526" s="507"/>
      <c r="D526" s="507"/>
      <c r="E526" s="507"/>
      <c r="F526" s="507"/>
    </row>
    <row r="527" spans="2:6" ht="12.75">
      <c r="B527" s="507"/>
      <c r="C527" s="507"/>
      <c r="D527" s="507"/>
      <c r="E527" s="507"/>
      <c r="F527" s="507"/>
    </row>
    <row r="528" spans="2:6" ht="12.75">
      <c r="B528" s="507"/>
      <c r="C528" s="507"/>
      <c r="D528" s="507"/>
      <c r="E528" s="507"/>
      <c r="F528" s="507"/>
    </row>
    <row r="529" spans="2:6" ht="12.75">
      <c r="B529" s="507"/>
      <c r="C529" s="507"/>
      <c r="D529" s="507"/>
      <c r="E529" s="507"/>
      <c r="F529" s="507"/>
    </row>
    <row r="530" spans="2:6" ht="12.75">
      <c r="B530" s="507"/>
      <c r="C530" s="507"/>
      <c r="D530" s="507"/>
      <c r="E530" s="507"/>
      <c r="F530" s="507"/>
    </row>
    <row r="531" spans="2:6" ht="12.75">
      <c r="B531" s="507"/>
      <c r="C531" s="507"/>
      <c r="D531" s="507"/>
      <c r="E531" s="507"/>
      <c r="F531" s="507"/>
    </row>
    <row r="532" spans="2:6" ht="12.75">
      <c r="B532" s="507"/>
      <c r="C532" s="507"/>
      <c r="D532" s="507"/>
      <c r="E532" s="507"/>
      <c r="F532" s="507"/>
    </row>
    <row r="533" spans="2:6" ht="12.75">
      <c r="B533" s="507"/>
      <c r="C533" s="507"/>
      <c r="D533" s="507"/>
      <c r="E533" s="507"/>
      <c r="F533" s="507"/>
    </row>
    <row r="534" spans="2:6" ht="12.75">
      <c r="B534" s="507"/>
      <c r="C534" s="507"/>
      <c r="D534" s="507"/>
      <c r="E534" s="507"/>
      <c r="F534" s="507"/>
    </row>
    <row r="535" spans="2:6" ht="12.75">
      <c r="B535" s="507"/>
      <c r="C535" s="507"/>
      <c r="D535" s="507"/>
      <c r="E535" s="507"/>
      <c r="F535" s="507"/>
    </row>
    <row r="536" spans="2:6" ht="12.75">
      <c r="B536" s="507"/>
      <c r="C536" s="507"/>
      <c r="D536" s="507"/>
      <c r="E536" s="507"/>
      <c r="F536" s="507"/>
    </row>
    <row r="537" spans="2:6" ht="12.75">
      <c r="B537" s="507"/>
      <c r="C537" s="507"/>
      <c r="D537" s="507"/>
      <c r="E537" s="507"/>
      <c r="F537" s="507"/>
    </row>
    <row r="538" spans="2:6" ht="12.75">
      <c r="B538" s="507"/>
      <c r="C538" s="507"/>
      <c r="D538" s="507"/>
      <c r="E538" s="507"/>
      <c r="F538" s="507"/>
    </row>
    <row r="539" spans="2:6" ht="12.75">
      <c r="B539" s="507"/>
      <c r="C539" s="507"/>
      <c r="D539" s="507"/>
      <c r="E539" s="507"/>
      <c r="F539" s="507"/>
    </row>
    <row r="540" spans="2:6" ht="12.75">
      <c r="B540" s="507"/>
      <c r="C540" s="507"/>
      <c r="D540" s="507"/>
      <c r="E540" s="507"/>
      <c r="F540" s="507"/>
    </row>
    <row r="541" spans="2:6" ht="12.75">
      <c r="B541" s="507"/>
      <c r="C541" s="507"/>
      <c r="D541" s="507"/>
      <c r="E541" s="507"/>
      <c r="F541" s="507"/>
    </row>
    <row r="542" spans="2:6" ht="12.75">
      <c r="B542" s="507"/>
      <c r="C542" s="507"/>
      <c r="D542" s="507"/>
      <c r="E542" s="507"/>
      <c r="F542" s="507"/>
    </row>
    <row r="543" spans="2:6" ht="12.75">
      <c r="B543" s="507"/>
      <c r="C543" s="507"/>
      <c r="D543" s="507"/>
      <c r="E543" s="507"/>
      <c r="F543" s="507"/>
    </row>
    <row r="544" spans="2:6" ht="12.75">
      <c r="B544" s="507"/>
      <c r="C544" s="507"/>
      <c r="D544" s="507"/>
      <c r="E544" s="507"/>
      <c r="F544" s="507"/>
    </row>
    <row r="545" spans="2:6" ht="12.75">
      <c r="B545" s="507"/>
      <c r="C545" s="507"/>
      <c r="D545" s="507"/>
      <c r="E545" s="507"/>
      <c r="F545" s="507"/>
    </row>
    <row r="546" spans="2:6" ht="12.75">
      <c r="B546" s="507"/>
      <c r="C546" s="507"/>
      <c r="D546" s="507"/>
      <c r="E546" s="507"/>
      <c r="F546" s="507"/>
    </row>
    <row r="547" spans="2:6" ht="12.75">
      <c r="B547" s="507"/>
      <c r="C547" s="507"/>
      <c r="D547" s="507"/>
      <c r="E547" s="507"/>
      <c r="F547" s="507"/>
    </row>
    <row r="548" spans="2:6" ht="12.75">
      <c r="B548" s="507"/>
      <c r="C548" s="507"/>
      <c r="D548" s="507"/>
      <c r="E548" s="507"/>
      <c r="F548" s="507"/>
    </row>
    <row r="549" spans="2:6" ht="12.75">
      <c r="B549" s="507"/>
      <c r="C549" s="507"/>
      <c r="D549" s="507"/>
      <c r="E549" s="507"/>
      <c r="F549" s="507"/>
    </row>
    <row r="550" spans="2:6" ht="12.75">
      <c r="B550" s="507"/>
      <c r="C550" s="507"/>
      <c r="D550" s="507"/>
      <c r="E550" s="507"/>
      <c r="F550" s="507"/>
    </row>
    <row r="551" spans="2:6" ht="12.75">
      <c r="B551" s="507"/>
      <c r="C551" s="507"/>
      <c r="D551" s="507"/>
      <c r="E551" s="507"/>
      <c r="F551" s="507"/>
    </row>
    <row r="552" spans="2:6" ht="12.75">
      <c r="B552" s="507"/>
      <c r="C552" s="507"/>
      <c r="D552" s="507"/>
      <c r="E552" s="507"/>
      <c r="F552" s="507"/>
    </row>
    <row r="553" spans="2:6" ht="12.75">
      <c r="B553" s="507"/>
      <c r="C553" s="507"/>
      <c r="D553" s="507"/>
      <c r="E553" s="507"/>
      <c r="F553" s="507"/>
    </row>
    <row r="554" spans="2:6" ht="12.75">
      <c r="B554" s="507"/>
      <c r="C554" s="507"/>
      <c r="D554" s="507"/>
      <c r="E554" s="507"/>
      <c r="F554" s="507"/>
    </row>
    <row r="555" spans="2:6" ht="12.75">
      <c r="B555" s="507"/>
      <c r="C555" s="507"/>
      <c r="D555" s="507"/>
      <c r="E555" s="507"/>
      <c r="F555" s="507"/>
    </row>
    <row r="556" spans="2:6" ht="12.75">
      <c r="B556" s="507"/>
      <c r="C556" s="507"/>
      <c r="D556" s="507"/>
      <c r="E556" s="507"/>
      <c r="F556" s="507"/>
    </row>
    <row r="557" spans="2:6" ht="12.75">
      <c r="B557" s="507"/>
      <c r="C557" s="507"/>
      <c r="D557" s="507"/>
      <c r="E557" s="507"/>
      <c r="F557" s="507"/>
    </row>
    <row r="558" spans="2:6" ht="12.75">
      <c r="B558" s="507"/>
      <c r="C558" s="507"/>
      <c r="D558" s="507"/>
      <c r="E558" s="507"/>
      <c r="F558" s="507"/>
    </row>
    <row r="559" spans="2:6" ht="12.75">
      <c r="B559" s="507"/>
      <c r="C559" s="507"/>
      <c r="D559" s="507"/>
      <c r="E559" s="507"/>
      <c r="F559" s="507"/>
    </row>
    <row r="560" spans="2:6" ht="12.75">
      <c r="B560" s="507"/>
      <c r="C560" s="507"/>
      <c r="D560" s="507"/>
      <c r="E560" s="507"/>
      <c r="F560" s="507"/>
    </row>
    <row r="561" spans="2:6" ht="12.75">
      <c r="B561" s="507"/>
      <c r="C561" s="507"/>
      <c r="D561" s="507"/>
      <c r="E561" s="507"/>
      <c r="F561" s="507"/>
    </row>
    <row r="562" spans="2:6" ht="12.75">
      <c r="B562" s="507"/>
      <c r="C562" s="507"/>
      <c r="D562" s="507"/>
      <c r="E562" s="507"/>
      <c r="F562" s="507"/>
    </row>
    <row r="563" spans="2:6" ht="12.75">
      <c r="B563" s="507"/>
      <c r="C563" s="507"/>
      <c r="D563" s="507"/>
      <c r="E563" s="507"/>
      <c r="F563" s="507"/>
    </row>
    <row r="564" spans="2:6" ht="12.75">
      <c r="B564" s="507"/>
      <c r="C564" s="507"/>
      <c r="D564" s="507"/>
      <c r="E564" s="507"/>
      <c r="F564" s="507"/>
    </row>
    <row r="565" spans="2:6" ht="12.75">
      <c r="B565" s="507"/>
      <c r="C565" s="507"/>
      <c r="D565" s="507"/>
      <c r="E565" s="507"/>
      <c r="F565" s="507"/>
    </row>
    <row r="566" spans="2:6" ht="12.75">
      <c r="B566" s="507"/>
      <c r="C566" s="507"/>
      <c r="D566" s="507"/>
      <c r="E566" s="507"/>
      <c r="F566" s="507"/>
    </row>
    <row r="567" spans="2:6" ht="12.75">
      <c r="B567" s="507"/>
      <c r="C567" s="507"/>
      <c r="D567" s="507"/>
      <c r="E567" s="507"/>
      <c r="F567" s="507"/>
    </row>
    <row r="568" spans="2:6" ht="12.75">
      <c r="B568" s="507"/>
      <c r="C568" s="507"/>
      <c r="D568" s="507"/>
      <c r="E568" s="507"/>
      <c r="F568" s="507"/>
    </row>
    <row r="569" spans="2:6" ht="12.75">
      <c r="B569" s="507"/>
      <c r="C569" s="507"/>
      <c r="D569" s="507"/>
      <c r="E569" s="507"/>
      <c r="F569" s="507"/>
    </row>
    <row r="570" spans="2:6" ht="12.75">
      <c r="B570" s="507"/>
      <c r="C570" s="507"/>
      <c r="D570" s="507"/>
      <c r="E570" s="507"/>
      <c r="F570" s="507"/>
    </row>
    <row r="571" spans="2:6" ht="12.75">
      <c r="B571" s="507"/>
      <c r="C571" s="507"/>
      <c r="D571" s="507"/>
      <c r="E571" s="507"/>
      <c r="F571" s="507"/>
    </row>
    <row r="572" spans="2:6" ht="12.75">
      <c r="B572" s="507"/>
      <c r="C572" s="507"/>
      <c r="D572" s="507"/>
      <c r="E572" s="507"/>
      <c r="F572" s="507"/>
    </row>
    <row r="573" spans="2:6" ht="12.75">
      <c r="B573" s="507"/>
      <c r="C573" s="507"/>
      <c r="D573" s="507"/>
      <c r="E573" s="507"/>
      <c r="F573" s="507"/>
    </row>
    <row r="574" spans="2:6" ht="12.75">
      <c r="B574" s="507"/>
      <c r="C574" s="507"/>
      <c r="D574" s="507"/>
      <c r="E574" s="507"/>
      <c r="F574" s="507"/>
    </row>
    <row r="575" spans="2:6" ht="12.75">
      <c r="B575" s="507"/>
      <c r="C575" s="507"/>
      <c r="D575" s="507"/>
      <c r="E575" s="507"/>
      <c r="F575" s="507"/>
    </row>
    <row r="576" spans="2:6" ht="12.75">
      <c r="B576" s="507"/>
      <c r="C576" s="507"/>
      <c r="D576" s="507"/>
      <c r="E576" s="507"/>
      <c r="F576" s="507"/>
    </row>
    <row r="577" spans="2:6" ht="12.75">
      <c r="B577" s="507"/>
      <c r="C577" s="507"/>
      <c r="D577" s="507"/>
      <c r="E577" s="507"/>
      <c r="F577" s="507"/>
    </row>
    <row r="578" spans="2:6" ht="12.75">
      <c r="B578" s="507"/>
      <c r="C578" s="507"/>
      <c r="D578" s="507"/>
      <c r="E578" s="507"/>
      <c r="F578" s="507"/>
    </row>
    <row r="579" spans="2:6" ht="12.75">
      <c r="B579" s="507"/>
      <c r="C579" s="507"/>
      <c r="D579" s="507"/>
      <c r="E579" s="507"/>
      <c r="F579" s="507"/>
    </row>
    <row r="580" spans="2:6" ht="12.75">
      <c r="B580" s="507"/>
      <c r="C580" s="507"/>
      <c r="D580" s="507"/>
      <c r="E580" s="507"/>
      <c r="F580" s="507"/>
    </row>
    <row r="581" spans="2:6" ht="12.75">
      <c r="B581" s="507"/>
      <c r="C581" s="507"/>
      <c r="D581" s="507"/>
      <c r="E581" s="507"/>
      <c r="F581" s="507"/>
    </row>
    <row r="582" spans="2:6" ht="12.75">
      <c r="B582" s="507"/>
      <c r="C582" s="507"/>
      <c r="D582" s="507"/>
      <c r="E582" s="507"/>
      <c r="F582" s="507"/>
    </row>
    <row r="583" spans="2:6" ht="12.75">
      <c r="B583" s="507"/>
      <c r="C583" s="507"/>
      <c r="D583" s="507"/>
      <c r="E583" s="507"/>
      <c r="F583" s="507"/>
    </row>
  </sheetData>
  <sheetProtection/>
  <printOptions horizontalCentered="1"/>
  <pageMargins left="0" right="0" top="0.5905511811023623" bottom="0" header="0" footer="0"/>
  <pageSetup fitToHeight="1" fitToWidth="1" orientation="portrait" paperSize="9" scale="4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535" customWidth="1"/>
    <col min="2" max="2" width="11.8515625" style="535" bestFit="1" customWidth="1"/>
    <col min="3" max="3" width="6.7109375" style="535" customWidth="1"/>
    <col min="4" max="4" width="19.28125" style="535" customWidth="1"/>
    <col min="5" max="5" width="12.421875" style="535" customWidth="1"/>
    <col min="6" max="6" width="31.57421875" style="535" customWidth="1"/>
    <col min="7" max="7" width="10.8515625" style="535" customWidth="1"/>
    <col min="8" max="8" width="18.28125" style="535" customWidth="1"/>
    <col min="9" max="9" width="10.421875" style="535" customWidth="1"/>
    <col min="10" max="10" width="16.8515625" style="535" customWidth="1"/>
    <col min="11" max="16384" width="9.140625" style="535" customWidth="1"/>
  </cols>
  <sheetData>
    <row r="1" spans="1:10" ht="12.75">
      <c r="A1" s="533"/>
      <c r="B1" s="533"/>
      <c r="C1" s="533"/>
      <c r="D1" s="533"/>
      <c r="E1" s="533"/>
      <c r="F1" s="533"/>
      <c r="G1" s="533"/>
      <c r="H1" s="533"/>
      <c r="I1" s="533"/>
      <c r="J1" s="534"/>
    </row>
    <row r="2" spans="1:10" ht="18" customHeight="1">
      <c r="A2" s="536" t="s">
        <v>497</v>
      </c>
      <c r="B2" s="537"/>
      <c r="C2" s="537"/>
      <c r="D2" s="537"/>
      <c r="E2" s="537"/>
      <c r="F2" s="537"/>
      <c r="G2" s="537"/>
      <c r="H2" s="537"/>
      <c r="I2" s="537"/>
      <c r="J2" s="537"/>
    </row>
    <row r="3" spans="1:10" ht="18" customHeight="1">
      <c r="A3" s="536" t="s">
        <v>498</v>
      </c>
      <c r="B3" s="537"/>
      <c r="C3" s="537"/>
      <c r="D3" s="537"/>
      <c r="E3" s="537"/>
      <c r="F3" s="537"/>
      <c r="G3" s="537"/>
      <c r="H3" s="537"/>
      <c r="I3" s="537"/>
      <c r="J3" s="537"/>
    </row>
    <row r="4" spans="1:10" ht="12.75">
      <c r="A4" s="533"/>
      <c r="B4" s="533"/>
      <c r="C4" s="533"/>
      <c r="D4" s="533"/>
      <c r="E4" s="533"/>
      <c r="F4" s="533"/>
      <c r="G4" s="533"/>
      <c r="H4" s="533"/>
      <c r="I4" s="533"/>
      <c r="J4" s="533"/>
    </row>
    <row r="5" spans="1:10" ht="13.5" customHeight="1" thickBot="1">
      <c r="A5" s="533"/>
      <c r="B5" s="533"/>
      <c r="C5" s="533"/>
      <c r="D5" s="533"/>
      <c r="E5" s="533"/>
      <c r="F5" s="533"/>
      <c r="G5" s="533"/>
      <c r="H5" s="533"/>
      <c r="I5" s="533"/>
      <c r="J5" s="533"/>
    </row>
    <row r="6" spans="1:10" ht="17.25" customHeight="1">
      <c r="A6" s="538" t="s">
        <v>499</v>
      </c>
      <c r="B6" s="538" t="s">
        <v>500</v>
      </c>
      <c r="C6" s="538" t="s">
        <v>501</v>
      </c>
      <c r="D6" s="538" t="s">
        <v>502</v>
      </c>
      <c r="E6" s="538" t="s">
        <v>503</v>
      </c>
      <c r="F6" s="538" t="s">
        <v>504</v>
      </c>
      <c r="G6" s="538" t="s">
        <v>505</v>
      </c>
      <c r="H6" s="538" t="s">
        <v>506</v>
      </c>
      <c r="I6" s="538" t="s">
        <v>507</v>
      </c>
      <c r="J6" s="538" t="s">
        <v>508</v>
      </c>
    </row>
    <row r="7" spans="1:10" ht="15.75" customHeight="1" thickBot="1">
      <c r="A7" s="539" t="s">
        <v>509</v>
      </c>
      <c r="B7" s="539"/>
      <c r="C7" s="539"/>
      <c r="D7" s="539" t="s">
        <v>509</v>
      </c>
      <c r="E7" s="539" t="s">
        <v>510</v>
      </c>
      <c r="F7" s="539"/>
      <c r="G7" s="539" t="s">
        <v>511</v>
      </c>
      <c r="H7" s="539"/>
      <c r="I7" s="539" t="s">
        <v>291</v>
      </c>
      <c r="J7" s="539"/>
    </row>
    <row r="8" spans="1:10" ht="14.25" customHeight="1">
      <c r="A8" s="540"/>
      <c r="B8" s="540"/>
      <c r="C8" s="540"/>
      <c r="D8" s="540"/>
      <c r="E8" s="540"/>
      <c r="F8" s="540"/>
      <c r="G8" s="540"/>
      <c r="H8" s="540"/>
      <c r="I8" s="540"/>
      <c r="J8" s="540"/>
    </row>
    <row r="9" spans="1:10" ht="14.25" customHeight="1">
      <c r="A9" s="541">
        <v>35</v>
      </c>
      <c r="B9" s="542">
        <v>41351</v>
      </c>
      <c r="C9" s="541">
        <v>132</v>
      </c>
      <c r="D9" s="543" t="s">
        <v>512</v>
      </c>
      <c r="E9" s="543" t="s">
        <v>513</v>
      </c>
      <c r="F9" s="543" t="s">
        <v>514</v>
      </c>
      <c r="G9" s="541">
        <v>31</v>
      </c>
      <c r="H9" s="543" t="s">
        <v>515</v>
      </c>
      <c r="I9" s="541" t="s">
        <v>516</v>
      </c>
      <c r="J9" s="544">
        <v>-2519</v>
      </c>
    </row>
    <row r="10" spans="1:10" ht="14.25" customHeight="1">
      <c r="A10" s="543"/>
      <c r="B10" s="542"/>
      <c r="C10" s="541">
        <v>132</v>
      </c>
      <c r="D10" s="543"/>
      <c r="E10" s="543" t="s">
        <v>517</v>
      </c>
      <c r="F10" s="543" t="s">
        <v>518</v>
      </c>
      <c r="G10" s="541">
        <v>31</v>
      </c>
      <c r="H10" s="543" t="s">
        <v>519</v>
      </c>
      <c r="I10" s="541" t="s">
        <v>516</v>
      </c>
      <c r="J10" s="544">
        <v>2264</v>
      </c>
    </row>
    <row r="11" spans="1:10" ht="14.25" customHeight="1">
      <c r="A11" s="543"/>
      <c r="B11" s="542"/>
      <c r="C11" s="541">
        <v>132</v>
      </c>
      <c r="D11" s="543"/>
      <c r="E11" s="543"/>
      <c r="F11" s="543"/>
      <c r="G11" s="541"/>
      <c r="H11" s="543" t="s">
        <v>520</v>
      </c>
      <c r="I11" s="541" t="s">
        <v>516</v>
      </c>
      <c r="J11" s="544">
        <v>255</v>
      </c>
    </row>
    <row r="12" spans="1:10" s="549" customFormat="1" ht="14.25" customHeight="1">
      <c r="A12" s="545" t="s">
        <v>58</v>
      </c>
      <c r="B12" s="546"/>
      <c r="C12" s="547">
        <v>132</v>
      </c>
      <c r="D12" s="546"/>
      <c r="E12" s="546"/>
      <c r="F12" s="546"/>
      <c r="G12" s="547">
        <v>31</v>
      </c>
      <c r="H12" s="546"/>
      <c r="I12" s="547"/>
      <c r="J12" s="548">
        <f>SUM(J10:J11)+J9</f>
        <v>0</v>
      </c>
    </row>
    <row r="13" spans="1:10" ht="14.25" customHeight="1">
      <c r="A13" s="543"/>
      <c r="B13" s="543"/>
      <c r="C13" s="541"/>
      <c r="D13" s="543"/>
      <c r="E13" s="543"/>
      <c r="F13" s="543"/>
      <c r="G13" s="541"/>
      <c r="H13" s="543"/>
      <c r="I13" s="541"/>
      <c r="J13" s="544"/>
    </row>
    <row r="14" spans="1:10" ht="14.25" customHeight="1">
      <c r="A14" s="541">
        <v>38</v>
      </c>
      <c r="B14" s="542">
        <v>41358</v>
      </c>
      <c r="C14" s="541">
        <v>132</v>
      </c>
      <c r="D14" s="543" t="s">
        <v>521</v>
      </c>
      <c r="E14" s="543" t="s">
        <v>513</v>
      </c>
      <c r="F14" s="543" t="s">
        <v>514</v>
      </c>
      <c r="G14" s="550" t="s">
        <v>522</v>
      </c>
      <c r="H14" s="543" t="s">
        <v>523</v>
      </c>
      <c r="I14" s="541" t="s">
        <v>516</v>
      </c>
      <c r="J14" s="544">
        <v>-6620</v>
      </c>
    </row>
    <row r="15" spans="1:10" ht="14.25" customHeight="1">
      <c r="A15" s="543"/>
      <c r="B15" s="542"/>
      <c r="C15" s="541">
        <v>132</v>
      </c>
      <c r="D15" s="543"/>
      <c r="E15" s="543" t="s">
        <v>517</v>
      </c>
      <c r="F15" s="543" t="s">
        <v>518</v>
      </c>
      <c r="G15" s="550" t="s">
        <v>522</v>
      </c>
      <c r="H15" s="543" t="s">
        <v>524</v>
      </c>
      <c r="I15" s="541" t="s">
        <v>516</v>
      </c>
      <c r="J15" s="544">
        <v>3310</v>
      </c>
    </row>
    <row r="16" spans="1:10" ht="14.25" customHeight="1">
      <c r="A16" s="541"/>
      <c r="B16" s="542"/>
      <c r="C16" s="541">
        <v>132</v>
      </c>
      <c r="D16" s="543"/>
      <c r="E16" s="543"/>
      <c r="F16" s="543"/>
      <c r="G16" s="550"/>
      <c r="H16" s="543" t="s">
        <v>525</v>
      </c>
      <c r="I16" s="541" t="s">
        <v>516</v>
      </c>
      <c r="J16" s="544">
        <v>3310</v>
      </c>
    </row>
    <row r="17" spans="1:10" ht="14.25" customHeight="1">
      <c r="A17" s="545" t="s">
        <v>60</v>
      </c>
      <c r="B17" s="546"/>
      <c r="C17" s="547">
        <v>132</v>
      </c>
      <c r="D17" s="546"/>
      <c r="E17" s="546"/>
      <c r="F17" s="546"/>
      <c r="G17" s="551" t="s">
        <v>522</v>
      </c>
      <c r="H17" s="546"/>
      <c r="I17" s="547"/>
      <c r="J17" s="548">
        <f>SUM(J15:J16)+J14</f>
        <v>0</v>
      </c>
    </row>
    <row r="18" spans="1:10" ht="14.25" customHeight="1">
      <c r="A18" s="543"/>
      <c r="B18" s="543"/>
      <c r="C18" s="541"/>
      <c r="D18" s="543"/>
      <c r="E18" s="543"/>
      <c r="F18" s="543"/>
      <c r="G18" s="541"/>
      <c r="H18" s="543"/>
      <c r="I18" s="541"/>
      <c r="J18" s="544"/>
    </row>
    <row r="19" spans="1:10" ht="14.25" customHeight="1">
      <c r="A19" s="541">
        <v>48</v>
      </c>
      <c r="B19" s="542">
        <v>41360</v>
      </c>
      <c r="C19" s="541">
        <v>132</v>
      </c>
      <c r="D19" s="543" t="s">
        <v>526</v>
      </c>
      <c r="E19" s="543" t="s">
        <v>513</v>
      </c>
      <c r="F19" s="543" t="s">
        <v>514</v>
      </c>
      <c r="G19" s="541">
        <v>35</v>
      </c>
      <c r="H19" s="543" t="s">
        <v>527</v>
      </c>
      <c r="I19" s="541" t="s">
        <v>516</v>
      </c>
      <c r="J19" s="544">
        <v>-45</v>
      </c>
    </row>
    <row r="20" spans="1:10" ht="14.25" customHeight="1">
      <c r="A20" s="543"/>
      <c r="B20" s="542"/>
      <c r="C20" s="541">
        <v>132</v>
      </c>
      <c r="D20" s="543"/>
      <c r="E20" s="543" t="s">
        <v>517</v>
      </c>
      <c r="F20" s="543" t="s">
        <v>518</v>
      </c>
      <c r="G20" s="541">
        <v>35</v>
      </c>
      <c r="H20" s="543" t="s">
        <v>528</v>
      </c>
      <c r="I20" s="541" t="s">
        <v>516</v>
      </c>
      <c r="J20" s="544">
        <v>45</v>
      </c>
    </row>
    <row r="21" spans="1:10" ht="14.25" customHeight="1" thickBot="1">
      <c r="A21" s="552" t="s">
        <v>62</v>
      </c>
      <c r="B21" s="553"/>
      <c r="C21" s="554">
        <v>132</v>
      </c>
      <c r="D21" s="553"/>
      <c r="E21" s="553"/>
      <c r="F21" s="553"/>
      <c r="G21" s="554">
        <v>35</v>
      </c>
      <c r="H21" s="553"/>
      <c r="I21" s="554"/>
      <c r="J21" s="555">
        <f>SUM(J19:J20)</f>
        <v>0</v>
      </c>
    </row>
    <row r="22" spans="1:10" ht="14.25" thickTop="1">
      <c r="A22" s="556"/>
      <c r="B22" s="556"/>
      <c r="C22" s="557"/>
      <c r="D22" s="556"/>
      <c r="E22" s="556"/>
      <c r="F22" s="556"/>
      <c r="G22" s="557"/>
      <c r="H22" s="556"/>
      <c r="I22" s="557"/>
      <c r="J22" s="558"/>
    </row>
    <row r="23" spans="1:10" ht="13.5">
      <c r="A23" s="541">
        <v>69</v>
      </c>
      <c r="B23" s="542">
        <v>41372</v>
      </c>
      <c r="C23" s="541">
        <v>134</v>
      </c>
      <c r="D23" s="543" t="s">
        <v>529</v>
      </c>
      <c r="E23" s="543" t="s">
        <v>513</v>
      </c>
      <c r="F23" s="543" t="s">
        <v>514</v>
      </c>
      <c r="G23" s="541">
        <v>35</v>
      </c>
      <c r="H23" s="543" t="s">
        <v>530</v>
      </c>
      <c r="I23" s="541" t="s">
        <v>516</v>
      </c>
      <c r="J23" s="544">
        <v>-2100</v>
      </c>
    </row>
    <row r="24" spans="1:10" ht="13.5">
      <c r="A24" s="541"/>
      <c r="B24" s="542"/>
      <c r="C24" s="541"/>
      <c r="D24" s="543"/>
      <c r="E24" s="543"/>
      <c r="F24" s="543"/>
      <c r="G24" s="541"/>
      <c r="H24" s="543" t="s">
        <v>531</v>
      </c>
      <c r="I24" s="541" t="s">
        <v>516</v>
      </c>
      <c r="J24" s="544">
        <v>-2000</v>
      </c>
    </row>
    <row r="25" spans="1:10" ht="13.5">
      <c r="A25" s="543"/>
      <c r="B25" s="542"/>
      <c r="C25" s="541">
        <v>134</v>
      </c>
      <c r="D25" s="543"/>
      <c r="E25" s="543" t="s">
        <v>517</v>
      </c>
      <c r="F25" s="543" t="s">
        <v>518</v>
      </c>
      <c r="G25" s="541">
        <v>35</v>
      </c>
      <c r="H25" s="543" t="s">
        <v>532</v>
      </c>
      <c r="I25" s="541" t="s">
        <v>516</v>
      </c>
      <c r="J25" s="544">
        <v>4100</v>
      </c>
    </row>
    <row r="26" spans="1:10" ht="13.5">
      <c r="A26" s="552" t="s">
        <v>533</v>
      </c>
      <c r="B26" s="553"/>
      <c r="C26" s="554">
        <v>134</v>
      </c>
      <c r="D26" s="553"/>
      <c r="E26" s="553"/>
      <c r="F26" s="553"/>
      <c r="G26" s="554">
        <v>35</v>
      </c>
      <c r="H26" s="553"/>
      <c r="I26" s="554"/>
      <c r="J26" s="555">
        <f>SUM(J23:J25)</f>
        <v>0</v>
      </c>
    </row>
    <row r="27" spans="1:10" ht="13.5">
      <c r="A27" s="559"/>
      <c r="B27" s="559"/>
      <c r="C27" s="560"/>
      <c r="D27" s="559"/>
      <c r="E27" s="559"/>
      <c r="F27" s="559"/>
      <c r="G27" s="560"/>
      <c r="H27" s="559"/>
      <c r="I27" s="560"/>
      <c r="J27" s="561"/>
    </row>
    <row r="28" spans="1:10" ht="13.5">
      <c r="A28" s="541">
        <v>94</v>
      </c>
      <c r="B28" s="542">
        <v>41381</v>
      </c>
      <c r="C28" s="541">
        <v>132</v>
      </c>
      <c r="D28" s="543" t="s">
        <v>534</v>
      </c>
      <c r="E28" s="543" t="s">
        <v>513</v>
      </c>
      <c r="F28" s="543" t="s">
        <v>514</v>
      </c>
      <c r="G28" s="541">
        <v>35</v>
      </c>
      <c r="H28" s="543" t="s">
        <v>527</v>
      </c>
      <c r="I28" s="541" t="s">
        <v>516</v>
      </c>
      <c r="J28" s="544">
        <v>-2600</v>
      </c>
    </row>
    <row r="29" spans="1:10" ht="13.5">
      <c r="A29" s="543"/>
      <c r="B29" s="542"/>
      <c r="C29" s="541">
        <v>132</v>
      </c>
      <c r="D29" s="543"/>
      <c r="E29" s="543" t="s">
        <v>517</v>
      </c>
      <c r="F29" s="543" t="s">
        <v>518</v>
      </c>
      <c r="G29" s="541">
        <v>35</v>
      </c>
      <c r="H29" s="543" t="s">
        <v>535</v>
      </c>
      <c r="I29" s="541" t="s">
        <v>516</v>
      </c>
      <c r="J29" s="544">
        <v>2600</v>
      </c>
    </row>
    <row r="30" spans="1:10" ht="14.25" thickBot="1">
      <c r="A30" s="552" t="s">
        <v>536</v>
      </c>
      <c r="B30" s="553"/>
      <c r="C30" s="554">
        <v>132</v>
      </c>
      <c r="D30" s="553"/>
      <c r="E30" s="553"/>
      <c r="F30" s="553"/>
      <c r="G30" s="554">
        <v>35</v>
      </c>
      <c r="H30" s="553"/>
      <c r="I30" s="554"/>
      <c r="J30" s="555">
        <f>SUM(J28:J29)</f>
        <v>0</v>
      </c>
    </row>
    <row r="31" spans="1:10" ht="14.25" thickTop="1">
      <c r="A31" s="562"/>
      <c r="B31" s="563"/>
      <c r="C31" s="564"/>
      <c r="D31" s="563"/>
      <c r="E31" s="563"/>
      <c r="F31" s="563"/>
      <c r="G31" s="564"/>
      <c r="H31" s="563"/>
      <c r="I31" s="564"/>
      <c r="J31" s="565"/>
    </row>
    <row r="32" spans="1:10" ht="13.5">
      <c r="A32" s="566" t="s">
        <v>537</v>
      </c>
      <c r="B32" s="567">
        <v>41407</v>
      </c>
      <c r="C32" s="566" t="s">
        <v>538</v>
      </c>
      <c r="D32" s="568" t="s">
        <v>539</v>
      </c>
      <c r="E32" s="568" t="s">
        <v>513</v>
      </c>
      <c r="F32" s="543" t="s">
        <v>514</v>
      </c>
      <c r="G32" s="566" t="s">
        <v>540</v>
      </c>
      <c r="H32" s="568" t="s">
        <v>530</v>
      </c>
      <c r="I32" s="566" t="s">
        <v>516</v>
      </c>
      <c r="J32" s="569">
        <v>-310</v>
      </c>
    </row>
    <row r="33" spans="1:10" ht="13.5">
      <c r="A33" s="568"/>
      <c r="B33" s="567"/>
      <c r="C33" s="566" t="s">
        <v>541</v>
      </c>
      <c r="D33" s="568"/>
      <c r="E33" s="568"/>
      <c r="F33" s="543" t="s">
        <v>518</v>
      </c>
      <c r="G33" s="568"/>
      <c r="H33" s="568" t="s">
        <v>531</v>
      </c>
      <c r="I33" s="566" t="s">
        <v>516</v>
      </c>
      <c r="J33" s="569">
        <v>-1200</v>
      </c>
    </row>
    <row r="34" spans="1:10" ht="13.5">
      <c r="A34" s="568"/>
      <c r="B34" s="567"/>
      <c r="C34" s="566" t="s">
        <v>538</v>
      </c>
      <c r="D34" s="568"/>
      <c r="E34" s="568" t="s">
        <v>517</v>
      </c>
      <c r="F34" s="568"/>
      <c r="G34" s="568"/>
      <c r="H34" s="568" t="s">
        <v>542</v>
      </c>
      <c r="I34" s="566" t="s">
        <v>516</v>
      </c>
      <c r="J34" s="569">
        <v>310</v>
      </c>
    </row>
    <row r="35" spans="1:10" ht="13.5">
      <c r="A35" s="568"/>
      <c r="B35" s="567"/>
      <c r="C35" s="566" t="s">
        <v>541</v>
      </c>
      <c r="D35" s="568"/>
      <c r="E35" s="568"/>
      <c r="F35" s="568"/>
      <c r="G35" s="568"/>
      <c r="H35" s="568" t="s">
        <v>543</v>
      </c>
      <c r="I35" s="566" t="s">
        <v>516</v>
      </c>
      <c r="J35" s="569">
        <v>1200</v>
      </c>
    </row>
    <row r="36" spans="1:10" ht="13.5">
      <c r="A36" s="570" t="s">
        <v>544</v>
      </c>
      <c r="B36" s="546"/>
      <c r="C36" s="547"/>
      <c r="D36" s="546"/>
      <c r="E36" s="546"/>
      <c r="F36" s="546"/>
      <c r="G36" s="547">
        <v>35</v>
      </c>
      <c r="H36" s="546"/>
      <c r="I36" s="547"/>
      <c r="J36" s="548">
        <f>SUM(J32:J35)</f>
        <v>0</v>
      </c>
    </row>
    <row r="37" spans="1:10" ht="13.5">
      <c r="A37" s="559"/>
      <c r="B37" s="559"/>
      <c r="C37" s="559"/>
      <c r="D37" s="559"/>
      <c r="E37" s="559"/>
      <c r="F37" s="559"/>
      <c r="G37" s="559"/>
      <c r="H37" s="559"/>
      <c r="I37" s="559"/>
      <c r="J37" s="561"/>
    </row>
    <row r="38" spans="1:10" ht="13.5">
      <c r="A38" s="566" t="s">
        <v>545</v>
      </c>
      <c r="B38" s="567">
        <v>41424</v>
      </c>
      <c r="C38" s="566" t="s">
        <v>541</v>
      </c>
      <c r="D38" s="568" t="s">
        <v>546</v>
      </c>
      <c r="E38" s="568" t="s">
        <v>513</v>
      </c>
      <c r="F38" s="543" t="s">
        <v>514</v>
      </c>
      <c r="G38" s="566" t="s">
        <v>540</v>
      </c>
      <c r="H38" s="568" t="s">
        <v>547</v>
      </c>
      <c r="I38" s="566" t="s">
        <v>548</v>
      </c>
      <c r="J38" s="569">
        <v>-11200</v>
      </c>
    </row>
    <row r="39" spans="1:10" ht="13.5">
      <c r="A39" s="568"/>
      <c r="B39" s="567"/>
      <c r="C39" s="568"/>
      <c r="D39" s="568"/>
      <c r="E39" s="568"/>
      <c r="F39" s="543" t="s">
        <v>518</v>
      </c>
      <c r="G39" s="568"/>
      <c r="H39" s="568" t="s">
        <v>547</v>
      </c>
      <c r="I39" s="566" t="s">
        <v>549</v>
      </c>
      <c r="J39" s="569">
        <v>-25000</v>
      </c>
    </row>
    <row r="40" spans="1:10" ht="13.5">
      <c r="A40" s="568"/>
      <c r="B40" s="567"/>
      <c r="C40" s="568"/>
      <c r="D40" s="568"/>
      <c r="E40" s="568"/>
      <c r="F40" s="568"/>
      <c r="G40" s="568"/>
      <c r="H40" s="568" t="s">
        <v>547</v>
      </c>
      <c r="I40" s="566" t="s">
        <v>550</v>
      </c>
      <c r="J40" s="569">
        <v>-36000</v>
      </c>
    </row>
    <row r="41" spans="1:10" ht="13.5">
      <c r="A41" s="568"/>
      <c r="B41" s="567"/>
      <c r="C41" s="568"/>
      <c r="D41" s="568"/>
      <c r="E41" s="568"/>
      <c r="F41" s="568"/>
      <c r="G41" s="568"/>
      <c r="H41" s="568" t="s">
        <v>551</v>
      </c>
      <c r="I41" s="566" t="s">
        <v>552</v>
      </c>
      <c r="J41" s="569">
        <v>-30770</v>
      </c>
    </row>
    <row r="42" spans="1:10" ht="13.5">
      <c r="A42" s="568"/>
      <c r="B42" s="567"/>
      <c r="C42" s="568"/>
      <c r="D42" s="568"/>
      <c r="E42" s="568"/>
      <c r="F42" s="568"/>
      <c r="G42" s="568"/>
      <c r="H42" s="568" t="s">
        <v>553</v>
      </c>
      <c r="I42" s="566" t="s">
        <v>554</v>
      </c>
      <c r="J42" s="569">
        <v>-2000</v>
      </c>
    </row>
    <row r="43" spans="1:10" ht="13.5">
      <c r="A43" s="568"/>
      <c r="B43" s="567"/>
      <c r="C43" s="568"/>
      <c r="D43" s="568"/>
      <c r="E43" s="568"/>
      <c r="F43" s="568"/>
      <c r="G43" s="568"/>
      <c r="H43" s="568" t="s">
        <v>553</v>
      </c>
      <c r="I43" s="566" t="s">
        <v>555</v>
      </c>
      <c r="J43" s="569">
        <v>-1240</v>
      </c>
    </row>
    <row r="44" spans="1:10" ht="13.5">
      <c r="A44" s="568"/>
      <c r="B44" s="567"/>
      <c r="C44" s="568"/>
      <c r="D44" s="568"/>
      <c r="E44" s="568"/>
      <c r="F44" s="568"/>
      <c r="G44" s="568"/>
      <c r="H44" s="568" t="s">
        <v>553</v>
      </c>
      <c r="I44" s="566" t="s">
        <v>556</v>
      </c>
      <c r="J44" s="569">
        <v>-5000</v>
      </c>
    </row>
    <row r="45" spans="1:10" ht="13.5">
      <c r="A45" s="568"/>
      <c r="B45" s="567"/>
      <c r="C45" s="568"/>
      <c r="D45" s="568"/>
      <c r="E45" s="568"/>
      <c r="F45" s="568"/>
      <c r="G45" s="568"/>
      <c r="H45" s="568" t="s">
        <v>557</v>
      </c>
      <c r="I45" s="566" t="s">
        <v>558</v>
      </c>
      <c r="J45" s="569">
        <v>-3730</v>
      </c>
    </row>
    <row r="46" spans="1:10" ht="13.5">
      <c r="A46" s="568"/>
      <c r="B46" s="567"/>
      <c r="C46" s="568"/>
      <c r="D46" s="568"/>
      <c r="E46" s="568"/>
      <c r="F46" s="568"/>
      <c r="G46" s="568"/>
      <c r="H46" s="568" t="s">
        <v>557</v>
      </c>
      <c r="I46" s="566" t="s">
        <v>559</v>
      </c>
      <c r="J46" s="569">
        <v>-2000</v>
      </c>
    </row>
    <row r="47" spans="1:10" ht="13.5">
      <c r="A47" s="568"/>
      <c r="B47" s="567"/>
      <c r="C47" s="568"/>
      <c r="D47" s="568"/>
      <c r="E47" s="568"/>
      <c r="F47" s="568"/>
      <c r="G47" s="568"/>
      <c r="H47" s="568" t="s">
        <v>560</v>
      </c>
      <c r="I47" s="566" t="s">
        <v>561</v>
      </c>
      <c r="J47" s="569">
        <v>-11000</v>
      </c>
    </row>
    <row r="48" spans="1:10" ht="13.5">
      <c r="A48" s="568"/>
      <c r="B48" s="567"/>
      <c r="C48" s="568"/>
      <c r="D48" s="568"/>
      <c r="E48" s="568"/>
      <c r="F48" s="568"/>
      <c r="G48" s="568"/>
      <c r="H48" s="568" t="s">
        <v>560</v>
      </c>
      <c r="I48" s="566" t="s">
        <v>562</v>
      </c>
      <c r="J48" s="569">
        <v>-18890</v>
      </c>
    </row>
    <row r="49" spans="1:10" ht="13.5">
      <c r="A49" s="568"/>
      <c r="B49" s="567"/>
      <c r="C49" s="568"/>
      <c r="D49" s="568"/>
      <c r="E49" s="568"/>
      <c r="F49" s="568"/>
      <c r="G49" s="568"/>
      <c r="H49" s="568" t="s">
        <v>560</v>
      </c>
      <c r="I49" s="566" t="s">
        <v>563</v>
      </c>
      <c r="J49" s="569">
        <v>-10000</v>
      </c>
    </row>
    <row r="50" spans="1:10" ht="13.5">
      <c r="A50" s="568"/>
      <c r="B50" s="567"/>
      <c r="C50" s="568"/>
      <c r="D50" s="568"/>
      <c r="E50" s="568"/>
      <c r="F50" s="568"/>
      <c r="G50" s="568"/>
      <c r="H50" s="568" t="s">
        <v>560</v>
      </c>
      <c r="I50" s="566" t="s">
        <v>564</v>
      </c>
      <c r="J50" s="569">
        <v>-25000</v>
      </c>
    </row>
    <row r="51" spans="1:10" ht="13.5">
      <c r="A51" s="568"/>
      <c r="B51" s="567"/>
      <c r="C51" s="568"/>
      <c r="D51" s="568"/>
      <c r="E51" s="568" t="s">
        <v>517</v>
      </c>
      <c r="F51" s="568"/>
      <c r="G51" s="566">
        <v>35</v>
      </c>
      <c r="H51" s="568" t="s">
        <v>553</v>
      </c>
      <c r="I51" s="566" t="s">
        <v>565</v>
      </c>
      <c r="J51" s="569">
        <v>2500</v>
      </c>
    </row>
    <row r="52" spans="1:10" ht="13.5">
      <c r="A52" s="568"/>
      <c r="B52" s="567"/>
      <c r="C52" s="568"/>
      <c r="D52" s="568"/>
      <c r="E52" s="568"/>
      <c r="F52" s="568"/>
      <c r="G52" s="568"/>
      <c r="H52" s="568" t="s">
        <v>553</v>
      </c>
      <c r="I52" s="566" t="s">
        <v>566</v>
      </c>
      <c r="J52" s="569">
        <v>3100</v>
      </c>
    </row>
    <row r="53" spans="1:10" ht="13.5">
      <c r="A53" s="568"/>
      <c r="B53" s="567"/>
      <c r="C53" s="568"/>
      <c r="D53" s="568"/>
      <c r="E53" s="568"/>
      <c r="F53" s="568"/>
      <c r="G53" s="568"/>
      <c r="H53" s="568" t="s">
        <v>553</v>
      </c>
      <c r="I53" s="566" t="s">
        <v>567</v>
      </c>
      <c r="J53" s="569">
        <v>660</v>
      </c>
    </row>
    <row r="54" spans="1:10" ht="13.5">
      <c r="A54" s="568"/>
      <c r="B54" s="567"/>
      <c r="C54" s="568"/>
      <c r="D54" s="568"/>
      <c r="E54" s="568"/>
      <c r="F54" s="568"/>
      <c r="G54" s="568"/>
      <c r="H54" s="568" t="s">
        <v>553</v>
      </c>
      <c r="I54" s="566" t="s">
        <v>568</v>
      </c>
      <c r="J54" s="569">
        <v>7100</v>
      </c>
    </row>
    <row r="55" spans="1:10" ht="13.5">
      <c r="A55" s="568"/>
      <c r="B55" s="567"/>
      <c r="C55" s="568"/>
      <c r="D55" s="568"/>
      <c r="E55" s="568"/>
      <c r="F55" s="568"/>
      <c r="G55" s="568"/>
      <c r="H55" s="568" t="s">
        <v>557</v>
      </c>
      <c r="I55" s="566" t="s">
        <v>569</v>
      </c>
      <c r="J55" s="569">
        <v>2490</v>
      </c>
    </row>
    <row r="56" spans="1:10" ht="13.5">
      <c r="A56" s="568"/>
      <c r="B56" s="567"/>
      <c r="C56" s="568"/>
      <c r="D56" s="568"/>
      <c r="E56" s="568"/>
      <c r="F56" s="568"/>
      <c r="G56" s="568"/>
      <c r="H56" s="568" t="s">
        <v>557</v>
      </c>
      <c r="I56" s="566" t="s">
        <v>570</v>
      </c>
      <c r="J56" s="569">
        <v>15000</v>
      </c>
    </row>
    <row r="57" spans="1:10" ht="13.5">
      <c r="A57" s="568"/>
      <c r="B57" s="567"/>
      <c r="C57" s="568"/>
      <c r="D57" s="568"/>
      <c r="E57" s="568"/>
      <c r="F57" s="568"/>
      <c r="G57" s="568"/>
      <c r="H57" s="568" t="s">
        <v>557</v>
      </c>
      <c r="I57" s="566" t="s">
        <v>571</v>
      </c>
      <c r="J57" s="569">
        <v>5650</v>
      </c>
    </row>
    <row r="58" spans="1:10" ht="13.5">
      <c r="A58" s="568"/>
      <c r="B58" s="567"/>
      <c r="C58" s="568"/>
      <c r="D58" s="568"/>
      <c r="E58" s="568"/>
      <c r="F58" s="568"/>
      <c r="G58" s="568"/>
      <c r="H58" s="568" t="s">
        <v>557</v>
      </c>
      <c r="I58" s="566" t="s">
        <v>572</v>
      </c>
      <c r="J58" s="569">
        <v>35000</v>
      </c>
    </row>
    <row r="59" spans="1:10" ht="13.5">
      <c r="A59" s="568"/>
      <c r="B59" s="567"/>
      <c r="C59" s="568"/>
      <c r="D59" s="568"/>
      <c r="E59" s="568"/>
      <c r="F59" s="568"/>
      <c r="G59" s="568"/>
      <c r="H59" s="568" t="s">
        <v>557</v>
      </c>
      <c r="I59" s="566" t="s">
        <v>573</v>
      </c>
      <c r="J59" s="569">
        <v>10000</v>
      </c>
    </row>
    <row r="60" spans="1:10" ht="13.5">
      <c r="A60" s="568"/>
      <c r="B60" s="567"/>
      <c r="C60" s="568"/>
      <c r="D60" s="568"/>
      <c r="E60" s="568"/>
      <c r="F60" s="568"/>
      <c r="G60" s="568"/>
      <c r="H60" s="568" t="s">
        <v>557</v>
      </c>
      <c r="I60" s="566" t="s">
        <v>574</v>
      </c>
      <c r="J60" s="569">
        <v>750</v>
      </c>
    </row>
    <row r="61" spans="1:10" ht="13.5">
      <c r="A61" s="568"/>
      <c r="B61" s="567"/>
      <c r="C61" s="568"/>
      <c r="D61" s="568"/>
      <c r="E61" s="568"/>
      <c r="F61" s="568"/>
      <c r="G61" s="568"/>
      <c r="H61" s="568" t="s">
        <v>557</v>
      </c>
      <c r="I61" s="566" t="s">
        <v>575</v>
      </c>
      <c r="J61" s="569">
        <v>2500</v>
      </c>
    </row>
    <row r="62" spans="1:10" ht="13.5">
      <c r="A62" s="568"/>
      <c r="B62" s="567"/>
      <c r="C62" s="568"/>
      <c r="D62" s="568"/>
      <c r="E62" s="568"/>
      <c r="F62" s="568"/>
      <c r="G62" s="568"/>
      <c r="H62" s="568" t="s">
        <v>557</v>
      </c>
      <c r="I62" s="566" t="s">
        <v>576</v>
      </c>
      <c r="J62" s="569">
        <v>2400</v>
      </c>
    </row>
    <row r="63" spans="1:10" ht="13.5">
      <c r="A63" s="568"/>
      <c r="B63" s="567"/>
      <c r="C63" s="568"/>
      <c r="D63" s="568"/>
      <c r="E63" s="568"/>
      <c r="F63" s="568"/>
      <c r="G63" s="568"/>
      <c r="H63" s="568" t="s">
        <v>557</v>
      </c>
      <c r="I63" s="566" t="s">
        <v>577</v>
      </c>
      <c r="J63" s="569">
        <v>3000</v>
      </c>
    </row>
    <row r="64" spans="1:10" ht="13.5">
      <c r="A64" s="568"/>
      <c r="B64" s="567"/>
      <c r="C64" s="568"/>
      <c r="D64" s="568"/>
      <c r="E64" s="568"/>
      <c r="F64" s="568"/>
      <c r="G64" s="568"/>
      <c r="H64" s="568" t="s">
        <v>557</v>
      </c>
      <c r="I64" s="566" t="s">
        <v>578</v>
      </c>
      <c r="J64" s="569">
        <v>65000</v>
      </c>
    </row>
    <row r="65" spans="1:10" ht="13.5">
      <c r="A65" s="568"/>
      <c r="B65" s="567"/>
      <c r="C65" s="568"/>
      <c r="D65" s="568"/>
      <c r="E65" s="568"/>
      <c r="F65" s="568"/>
      <c r="G65" s="568"/>
      <c r="H65" s="568" t="s">
        <v>560</v>
      </c>
      <c r="I65" s="566" t="s">
        <v>579</v>
      </c>
      <c r="J65" s="569">
        <v>25000</v>
      </c>
    </row>
    <row r="66" spans="1:10" ht="13.5">
      <c r="A66" s="568"/>
      <c r="B66" s="567"/>
      <c r="C66" s="568"/>
      <c r="D66" s="568"/>
      <c r="E66" s="568"/>
      <c r="F66" s="568"/>
      <c r="G66" s="568"/>
      <c r="H66" s="568" t="s">
        <v>560</v>
      </c>
      <c r="I66" s="566" t="s">
        <v>580</v>
      </c>
      <c r="J66" s="569">
        <v>1680</v>
      </c>
    </row>
    <row r="67" spans="1:10" ht="14.25" thickBot="1">
      <c r="A67" s="571" t="s">
        <v>581</v>
      </c>
      <c r="B67" s="572"/>
      <c r="C67" s="573">
        <v>132</v>
      </c>
      <c r="D67" s="572"/>
      <c r="E67" s="572"/>
      <c r="F67" s="572"/>
      <c r="G67" s="573">
        <v>35</v>
      </c>
      <c r="H67" s="572"/>
      <c r="I67" s="573"/>
      <c r="J67" s="574">
        <f>SUM(J38:J66)</f>
        <v>0</v>
      </c>
    </row>
    <row r="68" spans="1:10" ht="13.5" thickTop="1">
      <c r="A68" s="575"/>
      <c r="B68" s="575"/>
      <c r="C68" s="575"/>
      <c r="D68" s="575"/>
      <c r="E68" s="575"/>
      <c r="F68" s="575"/>
      <c r="G68" s="575"/>
      <c r="H68" s="575"/>
      <c r="I68" s="575"/>
      <c r="J68" s="575"/>
    </row>
    <row r="69" spans="1:11" ht="13.5">
      <c r="A69" s="541" t="s">
        <v>582</v>
      </c>
      <c r="B69" s="576">
        <v>41430</v>
      </c>
      <c r="C69" s="543" t="s">
        <v>541</v>
      </c>
      <c r="D69" s="543" t="s">
        <v>583</v>
      </c>
      <c r="E69" s="543" t="s">
        <v>513</v>
      </c>
      <c r="F69" s="543" t="s">
        <v>514</v>
      </c>
      <c r="G69" s="541" t="s">
        <v>540</v>
      </c>
      <c r="H69" s="543" t="s">
        <v>530</v>
      </c>
      <c r="I69" s="541" t="s">
        <v>516</v>
      </c>
      <c r="J69" s="577">
        <v>-32000</v>
      </c>
      <c r="K69" s="578"/>
    </row>
    <row r="70" spans="1:11" ht="13.5">
      <c r="A70" s="543"/>
      <c r="B70" s="579"/>
      <c r="C70" s="543" t="s">
        <v>541</v>
      </c>
      <c r="D70" s="543"/>
      <c r="E70" s="543" t="s">
        <v>517</v>
      </c>
      <c r="F70" s="543" t="s">
        <v>518</v>
      </c>
      <c r="G70" s="541" t="s">
        <v>540</v>
      </c>
      <c r="H70" s="543" t="s">
        <v>584</v>
      </c>
      <c r="I70" s="541" t="s">
        <v>516</v>
      </c>
      <c r="J70" s="577">
        <v>20000</v>
      </c>
      <c r="K70" s="578"/>
    </row>
    <row r="71" spans="1:11" ht="13.5">
      <c r="A71" s="580"/>
      <c r="B71" s="579"/>
      <c r="C71" s="543" t="s">
        <v>541</v>
      </c>
      <c r="D71" s="543"/>
      <c r="E71" s="543"/>
      <c r="F71" s="543"/>
      <c r="G71" s="541" t="s">
        <v>540</v>
      </c>
      <c r="H71" s="543" t="s">
        <v>585</v>
      </c>
      <c r="I71" s="541" t="s">
        <v>516</v>
      </c>
      <c r="J71" s="577">
        <v>12000</v>
      </c>
      <c r="K71" s="578"/>
    </row>
    <row r="72" spans="1:10" ht="13.5">
      <c r="A72" s="570" t="s">
        <v>586</v>
      </c>
      <c r="B72" s="546"/>
      <c r="C72" s="547"/>
      <c r="D72" s="546"/>
      <c r="E72" s="546"/>
      <c r="F72" s="546"/>
      <c r="G72" s="547">
        <v>35</v>
      </c>
      <c r="H72" s="546"/>
      <c r="I72" s="547"/>
      <c r="J72" s="581">
        <f>SUM(J68:J71)</f>
        <v>0</v>
      </c>
    </row>
    <row r="73" spans="1:10" ht="12.75">
      <c r="A73" s="582"/>
      <c r="B73" s="582"/>
      <c r="C73" s="582"/>
      <c r="D73" s="582"/>
      <c r="E73" s="582"/>
      <c r="F73" s="582"/>
      <c r="G73" s="582"/>
      <c r="H73" s="582"/>
      <c r="I73" s="582"/>
      <c r="J73" s="582"/>
    </row>
    <row r="74" spans="1:10" ht="13.5">
      <c r="A74" s="541" t="s">
        <v>587</v>
      </c>
      <c r="B74" s="579">
        <v>41444</v>
      </c>
      <c r="C74" s="541" t="s">
        <v>541</v>
      </c>
      <c r="D74" s="543" t="s">
        <v>588</v>
      </c>
      <c r="E74" s="541" t="s">
        <v>517</v>
      </c>
      <c r="F74" s="543" t="s">
        <v>514</v>
      </c>
      <c r="G74" s="541" t="s">
        <v>589</v>
      </c>
      <c r="H74" s="541" t="s">
        <v>590</v>
      </c>
      <c r="I74" s="541" t="s">
        <v>516</v>
      </c>
      <c r="J74" s="577">
        <v>56</v>
      </c>
    </row>
    <row r="75" spans="1:10" ht="13.5">
      <c r="A75" s="543"/>
      <c r="B75" s="579"/>
      <c r="C75" s="541"/>
      <c r="D75" s="543"/>
      <c r="E75" s="541"/>
      <c r="F75" s="543" t="s">
        <v>518</v>
      </c>
      <c r="G75" s="541"/>
      <c r="H75" s="541" t="s">
        <v>591</v>
      </c>
      <c r="I75" s="541" t="s">
        <v>516</v>
      </c>
      <c r="J75" s="577">
        <v>555</v>
      </c>
    </row>
    <row r="76" spans="1:10" ht="13.5">
      <c r="A76" s="543"/>
      <c r="B76" s="579"/>
      <c r="C76" s="541"/>
      <c r="D76" s="543"/>
      <c r="E76" s="541"/>
      <c r="F76" s="543"/>
      <c r="G76" s="541"/>
      <c r="H76" s="541" t="s">
        <v>592</v>
      </c>
      <c r="I76" s="541" t="s">
        <v>516</v>
      </c>
      <c r="J76" s="577">
        <v>32</v>
      </c>
    </row>
    <row r="77" spans="1:10" ht="13.5">
      <c r="A77" s="543"/>
      <c r="B77" s="579"/>
      <c r="C77" s="541"/>
      <c r="D77" s="543"/>
      <c r="E77" s="541"/>
      <c r="F77" s="543"/>
      <c r="G77" s="541"/>
      <c r="H77" s="541" t="s">
        <v>593</v>
      </c>
      <c r="I77" s="541" t="s">
        <v>516</v>
      </c>
      <c r="J77" s="577">
        <v>119</v>
      </c>
    </row>
    <row r="78" spans="1:10" ht="13.5">
      <c r="A78" s="543"/>
      <c r="B78" s="579"/>
      <c r="C78" s="541"/>
      <c r="D78" s="543"/>
      <c r="E78" s="541"/>
      <c r="F78" s="543"/>
      <c r="G78" s="541"/>
      <c r="H78" s="541" t="s">
        <v>594</v>
      </c>
      <c r="I78" s="541" t="s">
        <v>516</v>
      </c>
      <c r="J78" s="577">
        <v>40</v>
      </c>
    </row>
    <row r="79" spans="1:10" ht="13.5">
      <c r="A79" s="543"/>
      <c r="B79" s="579"/>
      <c r="C79" s="541"/>
      <c r="D79" s="543"/>
      <c r="E79" s="541"/>
      <c r="F79" s="543"/>
      <c r="G79" s="541"/>
      <c r="H79" s="541" t="s">
        <v>595</v>
      </c>
      <c r="I79" s="541" t="s">
        <v>516</v>
      </c>
      <c r="J79" s="577">
        <v>10</v>
      </c>
    </row>
    <row r="80" spans="1:10" ht="13.5">
      <c r="A80" s="543"/>
      <c r="B80" s="579"/>
      <c r="C80" s="541"/>
      <c r="D80" s="543"/>
      <c r="E80" s="541"/>
      <c r="F80" s="543"/>
      <c r="G80" s="541"/>
      <c r="H80" s="541" t="s">
        <v>596</v>
      </c>
      <c r="I80" s="541" t="s">
        <v>516</v>
      </c>
      <c r="J80" s="577">
        <v>188</v>
      </c>
    </row>
    <row r="81" spans="1:10" ht="13.5">
      <c r="A81" s="543"/>
      <c r="B81" s="579"/>
      <c r="C81" s="541"/>
      <c r="D81" s="543"/>
      <c r="E81" s="541"/>
      <c r="F81" s="543"/>
      <c r="G81" s="541"/>
      <c r="H81" s="541" t="s">
        <v>597</v>
      </c>
      <c r="I81" s="541" t="s">
        <v>516</v>
      </c>
      <c r="J81" s="577">
        <v>397</v>
      </c>
    </row>
    <row r="82" spans="1:10" ht="13.5">
      <c r="A82" s="543"/>
      <c r="B82" s="579"/>
      <c r="C82" s="541"/>
      <c r="D82" s="543"/>
      <c r="E82" s="541"/>
      <c r="F82" s="543"/>
      <c r="G82" s="541"/>
      <c r="H82" s="541" t="s">
        <v>598</v>
      </c>
      <c r="I82" s="541" t="s">
        <v>516</v>
      </c>
      <c r="J82" s="577">
        <v>2379</v>
      </c>
    </row>
    <row r="83" spans="1:10" ht="13.5">
      <c r="A83" s="543"/>
      <c r="B83" s="579"/>
      <c r="C83" s="541"/>
      <c r="D83" s="543"/>
      <c r="E83" s="541"/>
      <c r="F83" s="543"/>
      <c r="G83" s="541"/>
      <c r="H83" s="541" t="s">
        <v>599</v>
      </c>
      <c r="I83" s="541" t="s">
        <v>516</v>
      </c>
      <c r="J83" s="577">
        <v>1586</v>
      </c>
    </row>
    <row r="84" spans="1:10" s="587" customFormat="1" ht="13.5">
      <c r="A84" s="583"/>
      <c r="B84" s="584"/>
      <c r="C84" s="585" t="s">
        <v>541</v>
      </c>
      <c r="D84" s="583"/>
      <c r="E84" s="585"/>
      <c r="F84" s="583"/>
      <c r="G84" s="585" t="s">
        <v>589</v>
      </c>
      <c r="H84" s="585"/>
      <c r="I84" s="585"/>
      <c r="J84" s="586">
        <v>5362</v>
      </c>
    </row>
    <row r="85" spans="1:10" ht="13.5">
      <c r="A85" s="543"/>
      <c r="B85" s="579"/>
      <c r="C85" s="541" t="s">
        <v>541</v>
      </c>
      <c r="D85" s="543"/>
      <c r="E85" s="541" t="s">
        <v>517</v>
      </c>
      <c r="F85" s="543"/>
      <c r="G85" s="541" t="s">
        <v>600</v>
      </c>
      <c r="H85" s="541" t="s">
        <v>590</v>
      </c>
      <c r="I85" s="541" t="s">
        <v>516</v>
      </c>
      <c r="J85" s="577">
        <v>35</v>
      </c>
    </row>
    <row r="86" spans="1:10" ht="13.5">
      <c r="A86" s="543"/>
      <c r="B86" s="579"/>
      <c r="C86" s="541"/>
      <c r="D86" s="543"/>
      <c r="E86" s="541"/>
      <c r="F86" s="543"/>
      <c r="G86" s="541"/>
      <c r="H86" s="541" t="s">
        <v>591</v>
      </c>
      <c r="I86" s="541" t="s">
        <v>516</v>
      </c>
      <c r="J86" s="577">
        <v>346</v>
      </c>
    </row>
    <row r="87" spans="1:10" ht="13.5">
      <c r="A87" s="543"/>
      <c r="B87" s="579"/>
      <c r="C87" s="541"/>
      <c r="D87" s="543"/>
      <c r="E87" s="541"/>
      <c r="F87" s="543"/>
      <c r="G87" s="541"/>
      <c r="H87" s="541" t="s">
        <v>592</v>
      </c>
      <c r="I87" s="541" t="s">
        <v>516</v>
      </c>
      <c r="J87" s="577">
        <v>20</v>
      </c>
    </row>
    <row r="88" spans="1:10" ht="13.5">
      <c r="A88" s="543"/>
      <c r="B88" s="579"/>
      <c r="C88" s="541"/>
      <c r="D88" s="543"/>
      <c r="E88" s="541"/>
      <c r="F88" s="543"/>
      <c r="G88" s="541"/>
      <c r="H88" s="541" t="s">
        <v>593</v>
      </c>
      <c r="I88" s="541" t="s">
        <v>516</v>
      </c>
      <c r="J88" s="577">
        <v>74</v>
      </c>
    </row>
    <row r="89" spans="1:10" ht="13.5">
      <c r="A89" s="543"/>
      <c r="B89" s="579"/>
      <c r="C89" s="541"/>
      <c r="D89" s="543"/>
      <c r="E89" s="541"/>
      <c r="F89" s="543"/>
      <c r="G89" s="541"/>
      <c r="H89" s="541" t="s">
        <v>594</v>
      </c>
      <c r="I89" s="541" t="s">
        <v>516</v>
      </c>
      <c r="J89" s="577">
        <v>25</v>
      </c>
    </row>
    <row r="90" spans="1:10" ht="13.5">
      <c r="A90" s="543"/>
      <c r="B90" s="579"/>
      <c r="C90" s="541"/>
      <c r="D90" s="543"/>
      <c r="E90" s="541"/>
      <c r="F90" s="543"/>
      <c r="G90" s="541"/>
      <c r="H90" s="541" t="s">
        <v>595</v>
      </c>
      <c r="I90" s="541" t="s">
        <v>516</v>
      </c>
      <c r="J90" s="577">
        <v>6</v>
      </c>
    </row>
    <row r="91" spans="1:10" ht="13.5">
      <c r="A91" s="543"/>
      <c r="B91" s="579"/>
      <c r="C91" s="541"/>
      <c r="D91" s="543"/>
      <c r="E91" s="541"/>
      <c r="F91" s="543"/>
      <c r="G91" s="541"/>
      <c r="H91" s="541" t="s">
        <v>596</v>
      </c>
      <c r="I91" s="541" t="s">
        <v>516</v>
      </c>
      <c r="J91" s="577">
        <v>118</v>
      </c>
    </row>
    <row r="92" spans="1:10" ht="13.5">
      <c r="A92" s="543"/>
      <c r="B92" s="579"/>
      <c r="C92" s="541"/>
      <c r="D92" s="543"/>
      <c r="E92" s="541"/>
      <c r="F92" s="543"/>
      <c r="G92" s="541"/>
      <c r="H92" s="541" t="s">
        <v>597</v>
      </c>
      <c r="I92" s="541" t="s">
        <v>516</v>
      </c>
      <c r="J92" s="577">
        <v>247</v>
      </c>
    </row>
    <row r="93" spans="1:10" ht="13.5">
      <c r="A93" s="543"/>
      <c r="B93" s="579"/>
      <c r="C93" s="541"/>
      <c r="D93" s="543"/>
      <c r="E93" s="541"/>
      <c r="F93" s="543"/>
      <c r="G93" s="541"/>
      <c r="H93" s="541" t="s">
        <v>598</v>
      </c>
      <c r="I93" s="541" t="s">
        <v>516</v>
      </c>
      <c r="J93" s="577">
        <v>1978</v>
      </c>
    </row>
    <row r="94" spans="1:10" ht="13.5">
      <c r="A94" s="543"/>
      <c r="B94" s="579"/>
      <c r="C94" s="541"/>
      <c r="D94" s="543"/>
      <c r="E94" s="541"/>
      <c r="F94" s="543"/>
      <c r="G94" s="541"/>
      <c r="H94" s="541" t="s">
        <v>599</v>
      </c>
      <c r="I94" s="541" t="s">
        <v>516</v>
      </c>
      <c r="J94" s="577">
        <v>495</v>
      </c>
    </row>
    <row r="95" spans="1:10" s="588" customFormat="1" ht="13.5">
      <c r="A95" s="583"/>
      <c r="B95" s="584"/>
      <c r="C95" s="585" t="s">
        <v>541</v>
      </c>
      <c r="D95" s="583"/>
      <c r="E95" s="585"/>
      <c r="F95" s="583"/>
      <c r="G95" s="585" t="s">
        <v>600</v>
      </c>
      <c r="H95" s="585"/>
      <c r="I95" s="585"/>
      <c r="J95" s="586">
        <v>3344</v>
      </c>
    </row>
    <row r="96" spans="1:10" ht="13.5">
      <c r="A96" s="543"/>
      <c r="B96" s="579"/>
      <c r="C96" s="541" t="s">
        <v>541</v>
      </c>
      <c r="D96" s="543"/>
      <c r="E96" s="541" t="s">
        <v>517</v>
      </c>
      <c r="F96" s="543"/>
      <c r="G96" s="541" t="s">
        <v>601</v>
      </c>
      <c r="H96" s="541" t="s">
        <v>590</v>
      </c>
      <c r="I96" s="541" t="s">
        <v>516</v>
      </c>
      <c r="J96" s="577">
        <v>103</v>
      </c>
    </row>
    <row r="97" spans="1:10" ht="13.5">
      <c r="A97" s="543"/>
      <c r="B97" s="579"/>
      <c r="C97" s="541"/>
      <c r="D97" s="543"/>
      <c r="E97" s="541"/>
      <c r="F97" s="543"/>
      <c r="G97" s="541"/>
      <c r="H97" s="541" t="s">
        <v>591</v>
      </c>
      <c r="I97" s="541" t="s">
        <v>516</v>
      </c>
      <c r="J97" s="577">
        <v>1029</v>
      </c>
    </row>
    <row r="98" spans="1:10" ht="13.5">
      <c r="A98" s="543"/>
      <c r="B98" s="579"/>
      <c r="C98" s="541"/>
      <c r="D98" s="543"/>
      <c r="E98" s="541"/>
      <c r="F98" s="543"/>
      <c r="G98" s="541"/>
      <c r="H98" s="541" t="s">
        <v>592</v>
      </c>
      <c r="I98" s="541" t="s">
        <v>516</v>
      </c>
      <c r="J98" s="577">
        <v>60</v>
      </c>
    </row>
    <row r="99" spans="1:10" ht="13.5">
      <c r="A99" s="543"/>
      <c r="B99" s="579"/>
      <c r="C99" s="541"/>
      <c r="D99" s="543"/>
      <c r="E99" s="541"/>
      <c r="F99" s="543"/>
      <c r="G99" s="541"/>
      <c r="H99" s="541" t="s">
        <v>593</v>
      </c>
      <c r="I99" s="541" t="s">
        <v>516</v>
      </c>
      <c r="J99" s="577">
        <v>221</v>
      </c>
    </row>
    <row r="100" spans="1:10" ht="13.5">
      <c r="A100" s="543"/>
      <c r="B100" s="579"/>
      <c r="C100" s="541"/>
      <c r="D100" s="543"/>
      <c r="E100" s="541"/>
      <c r="F100" s="543"/>
      <c r="G100" s="541"/>
      <c r="H100" s="541" t="s">
        <v>594</v>
      </c>
      <c r="I100" s="541" t="s">
        <v>516</v>
      </c>
      <c r="J100" s="577">
        <v>74</v>
      </c>
    </row>
    <row r="101" spans="1:10" ht="13.5">
      <c r="A101" s="543"/>
      <c r="B101" s="579"/>
      <c r="C101" s="541"/>
      <c r="D101" s="543"/>
      <c r="E101" s="541"/>
      <c r="F101" s="543"/>
      <c r="G101" s="541"/>
      <c r="H101" s="541" t="s">
        <v>595</v>
      </c>
      <c r="I101" s="541" t="s">
        <v>516</v>
      </c>
      <c r="J101" s="577">
        <v>18</v>
      </c>
    </row>
    <row r="102" spans="1:10" ht="13.5">
      <c r="A102" s="543"/>
      <c r="B102" s="579"/>
      <c r="C102" s="541"/>
      <c r="D102" s="543"/>
      <c r="E102" s="541"/>
      <c r="F102" s="543"/>
      <c r="G102" s="541"/>
      <c r="H102" s="541" t="s">
        <v>596</v>
      </c>
      <c r="I102" s="541" t="s">
        <v>516</v>
      </c>
      <c r="J102" s="577">
        <v>349</v>
      </c>
    </row>
    <row r="103" spans="1:10" ht="13.5">
      <c r="A103" s="543"/>
      <c r="B103" s="579"/>
      <c r="C103" s="541"/>
      <c r="D103" s="543"/>
      <c r="E103" s="541"/>
      <c r="F103" s="543"/>
      <c r="G103" s="541"/>
      <c r="H103" s="541" t="s">
        <v>597</v>
      </c>
      <c r="I103" s="541" t="s">
        <v>516</v>
      </c>
      <c r="J103" s="577">
        <v>173</v>
      </c>
    </row>
    <row r="104" spans="1:10" ht="13.5">
      <c r="A104" s="543"/>
      <c r="B104" s="579"/>
      <c r="C104" s="541"/>
      <c r="D104" s="543"/>
      <c r="E104" s="541"/>
      <c r="F104" s="543"/>
      <c r="G104" s="541"/>
      <c r="H104" s="541" t="s">
        <v>602</v>
      </c>
      <c r="I104" s="541" t="s">
        <v>516</v>
      </c>
      <c r="J104" s="577">
        <v>393</v>
      </c>
    </row>
    <row r="105" spans="1:10" ht="13.5">
      <c r="A105" s="543"/>
      <c r="B105" s="579"/>
      <c r="C105" s="541"/>
      <c r="D105" s="543"/>
      <c r="E105" s="541" t="s">
        <v>513</v>
      </c>
      <c r="F105" s="543"/>
      <c r="G105" s="541"/>
      <c r="H105" s="541" t="s">
        <v>603</v>
      </c>
      <c r="I105" s="541" t="s">
        <v>516</v>
      </c>
      <c r="J105" s="577">
        <v>-3000</v>
      </c>
    </row>
    <row r="106" spans="1:10" ht="13.5">
      <c r="A106" s="543"/>
      <c r="B106" s="579"/>
      <c r="C106" s="541"/>
      <c r="D106" s="543"/>
      <c r="E106" s="541" t="s">
        <v>517</v>
      </c>
      <c r="F106" s="543"/>
      <c r="G106" s="541"/>
      <c r="H106" s="541" t="s">
        <v>598</v>
      </c>
      <c r="I106" s="541" t="s">
        <v>516</v>
      </c>
      <c r="J106" s="577">
        <v>4067</v>
      </c>
    </row>
    <row r="107" spans="1:10" ht="13.5">
      <c r="A107" s="543"/>
      <c r="B107" s="579"/>
      <c r="C107" s="541"/>
      <c r="D107" s="543"/>
      <c r="E107" s="541"/>
      <c r="F107" s="543"/>
      <c r="G107" s="541"/>
      <c r="H107" s="541" t="s">
        <v>599</v>
      </c>
      <c r="I107" s="541" t="s">
        <v>516</v>
      </c>
      <c r="J107" s="577">
        <v>3382</v>
      </c>
    </row>
    <row r="108" spans="1:10" s="588" customFormat="1" ht="13.5">
      <c r="A108" s="583"/>
      <c r="B108" s="584"/>
      <c r="C108" s="585">
        <v>132</v>
      </c>
      <c r="D108" s="583"/>
      <c r="E108" s="585"/>
      <c r="F108" s="583"/>
      <c r="G108" s="585" t="s">
        <v>601</v>
      </c>
      <c r="H108" s="585"/>
      <c r="I108" s="585"/>
      <c r="J108" s="586">
        <v>6869</v>
      </c>
    </row>
    <row r="109" spans="1:10" ht="13.5">
      <c r="A109" s="543"/>
      <c r="B109" s="579"/>
      <c r="C109" s="541" t="s">
        <v>541</v>
      </c>
      <c r="D109" s="543"/>
      <c r="E109" s="541" t="s">
        <v>517</v>
      </c>
      <c r="F109" s="543"/>
      <c r="G109" s="541" t="s">
        <v>604</v>
      </c>
      <c r="H109" s="541" t="s">
        <v>590</v>
      </c>
      <c r="I109" s="541" t="s">
        <v>516</v>
      </c>
      <c r="J109" s="577">
        <v>91</v>
      </c>
    </row>
    <row r="110" spans="1:10" ht="13.5">
      <c r="A110" s="543"/>
      <c r="B110" s="579"/>
      <c r="C110" s="541"/>
      <c r="D110" s="543"/>
      <c r="E110" s="541"/>
      <c r="F110" s="543"/>
      <c r="G110" s="541"/>
      <c r="H110" s="541" t="s">
        <v>591</v>
      </c>
      <c r="I110" s="541" t="s">
        <v>516</v>
      </c>
      <c r="J110" s="577">
        <v>914</v>
      </c>
    </row>
    <row r="111" spans="1:10" ht="13.5">
      <c r="A111" s="543"/>
      <c r="B111" s="579"/>
      <c r="C111" s="541"/>
      <c r="D111" s="543"/>
      <c r="E111" s="541"/>
      <c r="F111" s="543"/>
      <c r="G111" s="541"/>
      <c r="H111" s="541" t="s">
        <v>592</v>
      </c>
      <c r="I111" s="541" t="s">
        <v>516</v>
      </c>
      <c r="J111" s="577">
        <v>52</v>
      </c>
    </row>
    <row r="112" spans="1:10" ht="13.5">
      <c r="A112" s="543"/>
      <c r="B112" s="579"/>
      <c r="C112" s="541"/>
      <c r="D112" s="543"/>
      <c r="E112" s="541"/>
      <c r="F112" s="543"/>
      <c r="G112" s="541"/>
      <c r="H112" s="541" t="s">
        <v>593</v>
      </c>
      <c r="I112" s="541" t="s">
        <v>516</v>
      </c>
      <c r="J112" s="577">
        <v>196</v>
      </c>
    </row>
    <row r="113" spans="1:10" ht="13.5">
      <c r="A113" s="543"/>
      <c r="B113" s="579"/>
      <c r="C113" s="541"/>
      <c r="D113" s="543"/>
      <c r="E113" s="541"/>
      <c r="F113" s="543"/>
      <c r="G113" s="541"/>
      <c r="H113" s="541" t="s">
        <v>594</v>
      </c>
      <c r="I113" s="541" t="s">
        <v>516</v>
      </c>
      <c r="J113" s="577">
        <v>65</v>
      </c>
    </row>
    <row r="114" spans="1:10" ht="13.5">
      <c r="A114" s="543"/>
      <c r="B114" s="579"/>
      <c r="C114" s="541"/>
      <c r="D114" s="543"/>
      <c r="E114" s="541"/>
      <c r="F114" s="543"/>
      <c r="G114" s="541"/>
      <c r="H114" s="541" t="s">
        <v>595</v>
      </c>
      <c r="I114" s="541" t="s">
        <v>516</v>
      </c>
      <c r="J114" s="577">
        <v>16</v>
      </c>
    </row>
    <row r="115" spans="1:10" ht="13.5">
      <c r="A115" s="543"/>
      <c r="B115" s="579"/>
      <c r="C115" s="541"/>
      <c r="D115" s="543"/>
      <c r="E115" s="541"/>
      <c r="F115" s="543"/>
      <c r="G115" s="541"/>
      <c r="H115" s="541" t="s">
        <v>596</v>
      </c>
      <c r="I115" s="541" t="s">
        <v>516</v>
      </c>
      <c r="J115" s="577">
        <v>310</v>
      </c>
    </row>
    <row r="116" spans="1:10" ht="13.5">
      <c r="A116" s="543"/>
      <c r="B116" s="579"/>
      <c r="C116" s="541"/>
      <c r="D116" s="543"/>
      <c r="E116" s="541"/>
      <c r="F116" s="543"/>
      <c r="G116" s="541"/>
      <c r="H116" s="541" t="s">
        <v>597</v>
      </c>
      <c r="I116" s="541" t="s">
        <v>516</v>
      </c>
      <c r="J116" s="577">
        <v>654</v>
      </c>
    </row>
    <row r="117" spans="1:10" ht="13.5">
      <c r="A117" s="543"/>
      <c r="B117" s="579"/>
      <c r="C117" s="541"/>
      <c r="D117" s="543"/>
      <c r="E117" s="541"/>
      <c r="F117" s="543"/>
      <c r="G117" s="541"/>
      <c r="H117" s="541" t="s">
        <v>598</v>
      </c>
      <c r="I117" s="541" t="s">
        <v>516</v>
      </c>
      <c r="J117" s="577">
        <v>5228</v>
      </c>
    </row>
    <row r="118" spans="1:10" ht="13.5">
      <c r="A118" s="543"/>
      <c r="B118" s="579"/>
      <c r="C118" s="541"/>
      <c r="D118" s="543"/>
      <c r="E118" s="541"/>
      <c r="F118" s="543"/>
      <c r="G118" s="541"/>
      <c r="H118" s="541" t="s">
        <v>599</v>
      </c>
      <c r="I118" s="541" t="s">
        <v>516</v>
      </c>
      <c r="J118" s="577">
        <v>1313</v>
      </c>
    </row>
    <row r="119" spans="1:10" s="588" customFormat="1" ht="13.5">
      <c r="A119" s="583"/>
      <c r="B119" s="584"/>
      <c r="C119" s="585" t="s">
        <v>541</v>
      </c>
      <c r="D119" s="583"/>
      <c r="E119" s="585"/>
      <c r="F119" s="583"/>
      <c r="G119" s="585" t="s">
        <v>604</v>
      </c>
      <c r="H119" s="585"/>
      <c r="I119" s="585"/>
      <c r="J119" s="586">
        <v>8839</v>
      </c>
    </row>
    <row r="120" spans="1:10" ht="13.5">
      <c r="A120" s="543"/>
      <c r="B120" s="579"/>
      <c r="C120" s="541" t="s">
        <v>541</v>
      </c>
      <c r="D120" s="543"/>
      <c r="E120" s="541" t="s">
        <v>513</v>
      </c>
      <c r="F120" s="543"/>
      <c r="G120" s="541" t="s">
        <v>605</v>
      </c>
      <c r="H120" s="541" t="s">
        <v>590</v>
      </c>
      <c r="I120" s="541" t="s">
        <v>516</v>
      </c>
      <c r="J120" s="577">
        <v>-535</v>
      </c>
    </row>
    <row r="121" spans="1:10" ht="13.5">
      <c r="A121" s="543"/>
      <c r="B121" s="579"/>
      <c r="C121" s="541"/>
      <c r="D121" s="543"/>
      <c r="E121" s="541"/>
      <c r="F121" s="543"/>
      <c r="G121" s="541"/>
      <c r="H121" s="541" t="s">
        <v>591</v>
      </c>
      <c r="I121" s="541" t="s">
        <v>516</v>
      </c>
      <c r="J121" s="577">
        <v>-5338</v>
      </c>
    </row>
    <row r="122" spans="1:10" ht="13.5">
      <c r="A122" s="543"/>
      <c r="B122" s="579"/>
      <c r="C122" s="541"/>
      <c r="D122" s="543"/>
      <c r="E122" s="541"/>
      <c r="F122" s="543"/>
      <c r="G122" s="541"/>
      <c r="H122" s="541" t="s">
        <v>592</v>
      </c>
      <c r="I122" s="541" t="s">
        <v>516</v>
      </c>
      <c r="J122" s="577">
        <v>-465</v>
      </c>
    </row>
    <row r="123" spans="1:10" ht="13.5">
      <c r="A123" s="543"/>
      <c r="B123" s="579"/>
      <c r="C123" s="541"/>
      <c r="D123" s="543"/>
      <c r="E123" s="541"/>
      <c r="F123" s="543"/>
      <c r="G123" s="541"/>
      <c r="H123" s="541" t="s">
        <v>593</v>
      </c>
      <c r="I123" s="541" t="s">
        <v>516</v>
      </c>
      <c r="J123" s="577">
        <v>-1071</v>
      </c>
    </row>
    <row r="124" spans="1:10" ht="13.5">
      <c r="A124" s="543"/>
      <c r="B124" s="579"/>
      <c r="C124" s="541"/>
      <c r="D124" s="543"/>
      <c r="E124" s="541"/>
      <c r="F124" s="543"/>
      <c r="G124" s="541"/>
      <c r="H124" s="541" t="s">
        <v>594</v>
      </c>
      <c r="I124" s="541" t="s">
        <v>516</v>
      </c>
      <c r="J124" s="577">
        <v>-359</v>
      </c>
    </row>
    <row r="125" spans="1:10" ht="13.5">
      <c r="A125" s="543"/>
      <c r="B125" s="579"/>
      <c r="C125" s="541"/>
      <c r="D125" s="543"/>
      <c r="E125" s="541"/>
      <c r="F125" s="543"/>
      <c r="G125" s="541"/>
      <c r="H125" s="541" t="s">
        <v>595</v>
      </c>
      <c r="I125" s="541" t="s">
        <v>516</v>
      </c>
      <c r="J125" s="577">
        <v>-97</v>
      </c>
    </row>
    <row r="126" spans="1:10" ht="13.5">
      <c r="A126" s="543"/>
      <c r="B126" s="579"/>
      <c r="C126" s="541"/>
      <c r="D126" s="543"/>
      <c r="E126" s="541"/>
      <c r="F126" s="543"/>
      <c r="G126" s="541"/>
      <c r="H126" s="541" t="s">
        <v>596</v>
      </c>
      <c r="I126" s="541" t="s">
        <v>516</v>
      </c>
      <c r="J126" s="577">
        <v>-1811</v>
      </c>
    </row>
    <row r="127" spans="1:10" ht="13.5">
      <c r="A127" s="543"/>
      <c r="B127" s="579"/>
      <c r="C127" s="541"/>
      <c r="D127" s="543"/>
      <c r="E127" s="541"/>
      <c r="F127" s="543"/>
      <c r="G127" s="541"/>
      <c r="H127" s="541" t="s">
        <v>606</v>
      </c>
      <c r="I127" s="541" t="s">
        <v>516</v>
      </c>
      <c r="J127" s="577">
        <v>-468</v>
      </c>
    </row>
    <row r="128" spans="1:10" ht="13.5">
      <c r="A128" s="543"/>
      <c r="B128" s="579"/>
      <c r="C128" s="541"/>
      <c r="D128" s="543"/>
      <c r="E128" s="541"/>
      <c r="F128" s="543"/>
      <c r="G128" s="541"/>
      <c r="H128" s="541" t="s">
        <v>597</v>
      </c>
      <c r="I128" s="541" t="s">
        <v>516</v>
      </c>
      <c r="J128" s="577">
        <v>-3847</v>
      </c>
    </row>
    <row r="129" spans="1:10" ht="13.5">
      <c r="A129" s="543"/>
      <c r="B129" s="579"/>
      <c r="C129" s="541"/>
      <c r="D129" s="543"/>
      <c r="E129" s="541"/>
      <c r="F129" s="543"/>
      <c r="G129" s="541"/>
      <c r="H129" s="541" t="s">
        <v>602</v>
      </c>
      <c r="I129" s="541" t="s">
        <v>516</v>
      </c>
      <c r="J129" s="577">
        <v>-393</v>
      </c>
    </row>
    <row r="130" spans="1:10" ht="13.5">
      <c r="A130" s="543"/>
      <c r="B130" s="579"/>
      <c r="C130" s="541"/>
      <c r="D130" s="543"/>
      <c r="E130" s="541"/>
      <c r="F130" s="543"/>
      <c r="G130" s="541"/>
      <c r="H130" s="541" t="s">
        <v>607</v>
      </c>
      <c r="I130" s="541" t="s">
        <v>516</v>
      </c>
      <c r="J130" s="577">
        <v>-3090</v>
      </c>
    </row>
    <row r="131" spans="1:10" ht="13.5">
      <c r="A131" s="543"/>
      <c r="B131" s="579"/>
      <c r="C131" s="541"/>
      <c r="D131" s="543"/>
      <c r="E131" s="541"/>
      <c r="F131" s="543"/>
      <c r="G131" s="541"/>
      <c r="H131" s="541" t="s">
        <v>598</v>
      </c>
      <c r="I131" s="541" t="s">
        <v>516</v>
      </c>
      <c r="J131" s="577">
        <v>-37310</v>
      </c>
    </row>
    <row r="132" spans="1:10" ht="13.5">
      <c r="A132" s="543"/>
      <c r="B132" s="579"/>
      <c r="C132" s="541"/>
      <c r="D132" s="543"/>
      <c r="E132" s="541"/>
      <c r="F132" s="543"/>
      <c r="G132" s="541"/>
      <c r="H132" s="541" t="s">
        <v>599</v>
      </c>
      <c r="I132" s="541" t="s">
        <v>516</v>
      </c>
      <c r="J132" s="577">
        <v>-13581</v>
      </c>
    </row>
    <row r="133" spans="1:10" s="588" customFormat="1" ht="13.5">
      <c r="A133" s="583"/>
      <c r="B133" s="584"/>
      <c r="C133" s="585" t="s">
        <v>541</v>
      </c>
      <c r="D133" s="583"/>
      <c r="E133" s="585"/>
      <c r="F133" s="583"/>
      <c r="G133" s="585" t="s">
        <v>605</v>
      </c>
      <c r="H133" s="585"/>
      <c r="I133" s="585"/>
      <c r="J133" s="586">
        <v>-68365</v>
      </c>
    </row>
    <row r="134" spans="1:10" ht="13.5">
      <c r="A134" s="543"/>
      <c r="B134" s="579"/>
      <c r="C134" s="541" t="s">
        <v>541</v>
      </c>
      <c r="D134" s="543"/>
      <c r="E134" s="541" t="s">
        <v>517</v>
      </c>
      <c r="F134" s="543"/>
      <c r="G134" s="541" t="s">
        <v>608</v>
      </c>
      <c r="H134" s="541" t="s">
        <v>592</v>
      </c>
      <c r="I134" s="541" t="s">
        <v>516</v>
      </c>
      <c r="J134" s="577">
        <v>97</v>
      </c>
    </row>
    <row r="135" spans="1:10" ht="13.5">
      <c r="A135" s="543"/>
      <c r="B135" s="579"/>
      <c r="C135" s="541"/>
      <c r="D135" s="543"/>
      <c r="E135" s="541"/>
      <c r="F135" s="543"/>
      <c r="G135" s="541"/>
      <c r="H135" s="541" t="s">
        <v>597</v>
      </c>
      <c r="I135" s="541" t="s">
        <v>516</v>
      </c>
      <c r="J135" s="577">
        <v>393</v>
      </c>
    </row>
    <row r="136" spans="1:10" ht="13.5">
      <c r="A136" s="543"/>
      <c r="B136" s="579"/>
      <c r="C136" s="541"/>
      <c r="D136" s="543"/>
      <c r="E136" s="541"/>
      <c r="F136" s="543"/>
      <c r="G136" s="541"/>
      <c r="H136" s="541" t="s">
        <v>598</v>
      </c>
      <c r="I136" s="541" t="s">
        <v>516</v>
      </c>
      <c r="J136" s="577">
        <v>8224</v>
      </c>
    </row>
    <row r="137" spans="1:10" s="588" customFormat="1" ht="13.5">
      <c r="A137" s="583"/>
      <c r="B137" s="584"/>
      <c r="C137" s="585" t="s">
        <v>541</v>
      </c>
      <c r="D137" s="583"/>
      <c r="E137" s="585"/>
      <c r="F137" s="583"/>
      <c r="G137" s="585" t="s">
        <v>608</v>
      </c>
      <c r="H137" s="585"/>
      <c r="I137" s="585"/>
      <c r="J137" s="586">
        <v>8714</v>
      </c>
    </row>
    <row r="138" spans="1:10" ht="13.5">
      <c r="A138" s="543"/>
      <c r="B138" s="579"/>
      <c r="C138" s="541" t="s">
        <v>541</v>
      </c>
      <c r="D138" s="543"/>
      <c r="E138" s="541" t="s">
        <v>517</v>
      </c>
      <c r="F138" s="543"/>
      <c r="G138" s="541" t="s">
        <v>609</v>
      </c>
      <c r="H138" s="541" t="s">
        <v>590</v>
      </c>
      <c r="I138" s="541" t="s">
        <v>516</v>
      </c>
      <c r="J138" s="577">
        <v>41</v>
      </c>
    </row>
    <row r="139" spans="1:10" ht="13.5">
      <c r="A139" s="543"/>
      <c r="B139" s="579"/>
      <c r="C139" s="541"/>
      <c r="D139" s="543"/>
      <c r="E139" s="541"/>
      <c r="F139" s="543"/>
      <c r="G139" s="541"/>
      <c r="H139" s="541" t="s">
        <v>591</v>
      </c>
      <c r="I139" s="541" t="s">
        <v>516</v>
      </c>
      <c r="J139" s="577">
        <v>411</v>
      </c>
    </row>
    <row r="140" spans="1:10" ht="13.5">
      <c r="A140" s="543"/>
      <c r="B140" s="579"/>
      <c r="C140" s="541"/>
      <c r="D140" s="543"/>
      <c r="E140" s="541"/>
      <c r="F140" s="543"/>
      <c r="G140" s="541"/>
      <c r="H140" s="541" t="s">
        <v>592</v>
      </c>
      <c r="I140" s="541" t="s">
        <v>516</v>
      </c>
      <c r="J140" s="577">
        <v>24</v>
      </c>
    </row>
    <row r="141" spans="1:10" ht="13.5">
      <c r="A141" s="543"/>
      <c r="B141" s="579"/>
      <c r="C141" s="541"/>
      <c r="D141" s="543"/>
      <c r="E141" s="541"/>
      <c r="F141" s="543"/>
      <c r="G141" s="541"/>
      <c r="H141" s="541" t="s">
        <v>593</v>
      </c>
      <c r="I141" s="541" t="s">
        <v>516</v>
      </c>
      <c r="J141" s="577">
        <v>88</v>
      </c>
    </row>
    <row r="142" spans="1:10" ht="13.5">
      <c r="A142" s="543"/>
      <c r="B142" s="579"/>
      <c r="C142" s="541"/>
      <c r="D142" s="543"/>
      <c r="E142" s="541"/>
      <c r="F142" s="543"/>
      <c r="G142" s="541"/>
      <c r="H142" s="541" t="s">
        <v>594</v>
      </c>
      <c r="I142" s="541" t="s">
        <v>516</v>
      </c>
      <c r="J142" s="577">
        <v>30</v>
      </c>
    </row>
    <row r="143" spans="1:10" ht="13.5">
      <c r="A143" s="543"/>
      <c r="B143" s="579"/>
      <c r="C143" s="541"/>
      <c r="D143" s="543"/>
      <c r="E143" s="541"/>
      <c r="F143" s="543"/>
      <c r="G143" s="541"/>
      <c r="H143" s="541" t="s">
        <v>595</v>
      </c>
      <c r="I143" s="541" t="s">
        <v>516</v>
      </c>
      <c r="J143" s="577">
        <v>7</v>
      </c>
    </row>
    <row r="144" spans="1:10" ht="13.5">
      <c r="A144" s="543"/>
      <c r="B144" s="579"/>
      <c r="C144" s="541"/>
      <c r="D144" s="543"/>
      <c r="E144" s="541"/>
      <c r="F144" s="543"/>
      <c r="G144" s="541"/>
      <c r="H144" s="541" t="s">
        <v>596</v>
      </c>
      <c r="I144" s="541" t="s">
        <v>516</v>
      </c>
      <c r="J144" s="577">
        <v>139</v>
      </c>
    </row>
    <row r="145" spans="1:10" ht="13.5">
      <c r="A145" s="543"/>
      <c r="B145" s="579"/>
      <c r="C145" s="541"/>
      <c r="D145" s="543"/>
      <c r="E145" s="541"/>
      <c r="F145" s="543"/>
      <c r="G145" s="541"/>
      <c r="H145" s="541" t="s">
        <v>597</v>
      </c>
      <c r="I145" s="541" t="s">
        <v>516</v>
      </c>
      <c r="J145" s="577">
        <v>294</v>
      </c>
    </row>
    <row r="146" spans="1:10" ht="13.5">
      <c r="A146" s="543"/>
      <c r="B146" s="579"/>
      <c r="C146" s="541"/>
      <c r="D146" s="543"/>
      <c r="E146" s="541"/>
      <c r="F146" s="543"/>
      <c r="G146" s="541"/>
      <c r="H146" s="541" t="s">
        <v>598</v>
      </c>
      <c r="I146" s="541" t="s">
        <v>516</v>
      </c>
      <c r="J146" s="577">
        <v>2349</v>
      </c>
    </row>
    <row r="147" spans="1:10" ht="13.5">
      <c r="A147" s="543"/>
      <c r="B147" s="579"/>
      <c r="C147" s="541"/>
      <c r="D147" s="543"/>
      <c r="E147" s="541"/>
      <c r="F147" s="543"/>
      <c r="G147" s="541"/>
      <c r="H147" s="541" t="s">
        <v>599</v>
      </c>
      <c r="I147" s="541" t="s">
        <v>516</v>
      </c>
      <c r="J147" s="577">
        <v>587</v>
      </c>
    </row>
    <row r="148" spans="1:10" s="588" customFormat="1" ht="13.5">
      <c r="A148" s="583"/>
      <c r="B148" s="584"/>
      <c r="C148" s="585" t="s">
        <v>541</v>
      </c>
      <c r="D148" s="583"/>
      <c r="E148" s="585"/>
      <c r="F148" s="583"/>
      <c r="G148" s="585" t="s">
        <v>609</v>
      </c>
      <c r="H148" s="585"/>
      <c r="I148" s="585"/>
      <c r="J148" s="586">
        <v>3970</v>
      </c>
    </row>
    <row r="149" spans="1:10" ht="13.5">
      <c r="A149" s="543"/>
      <c r="B149" s="579"/>
      <c r="C149" s="541" t="s">
        <v>541</v>
      </c>
      <c r="D149" s="543"/>
      <c r="E149" s="541" t="s">
        <v>517</v>
      </c>
      <c r="F149" s="543"/>
      <c r="G149" s="541" t="s">
        <v>610</v>
      </c>
      <c r="H149" s="541" t="s">
        <v>590</v>
      </c>
      <c r="I149" s="541" t="s">
        <v>516</v>
      </c>
      <c r="J149" s="577">
        <v>41</v>
      </c>
    </row>
    <row r="150" spans="1:10" ht="13.5">
      <c r="A150" s="543"/>
      <c r="B150" s="579"/>
      <c r="C150" s="541"/>
      <c r="D150" s="543"/>
      <c r="E150" s="541"/>
      <c r="F150" s="543"/>
      <c r="G150" s="541"/>
      <c r="H150" s="541" t="s">
        <v>591</v>
      </c>
      <c r="I150" s="541" t="s">
        <v>516</v>
      </c>
      <c r="J150" s="577">
        <v>410</v>
      </c>
    </row>
    <row r="151" spans="1:10" ht="13.5">
      <c r="A151" s="543"/>
      <c r="B151" s="579"/>
      <c r="C151" s="541"/>
      <c r="D151" s="543"/>
      <c r="E151" s="541"/>
      <c r="F151" s="543"/>
      <c r="G151" s="541"/>
      <c r="H151" s="541" t="s">
        <v>592</v>
      </c>
      <c r="I151" s="541" t="s">
        <v>516</v>
      </c>
      <c r="J151" s="577">
        <v>24</v>
      </c>
    </row>
    <row r="152" spans="1:10" ht="13.5">
      <c r="A152" s="543"/>
      <c r="B152" s="579"/>
      <c r="C152" s="541"/>
      <c r="D152" s="543"/>
      <c r="E152" s="541"/>
      <c r="F152" s="543"/>
      <c r="G152" s="541"/>
      <c r="H152" s="541" t="s">
        <v>593</v>
      </c>
      <c r="I152" s="541" t="s">
        <v>516</v>
      </c>
      <c r="J152" s="577">
        <v>88</v>
      </c>
    </row>
    <row r="153" spans="1:10" ht="13.5">
      <c r="A153" s="543"/>
      <c r="B153" s="579"/>
      <c r="C153" s="541"/>
      <c r="D153" s="543"/>
      <c r="E153" s="541"/>
      <c r="F153" s="543"/>
      <c r="G153" s="541"/>
      <c r="H153" s="541" t="s">
        <v>594</v>
      </c>
      <c r="I153" s="541" t="s">
        <v>516</v>
      </c>
      <c r="J153" s="577">
        <v>30</v>
      </c>
    </row>
    <row r="154" spans="1:10" ht="13.5">
      <c r="A154" s="543"/>
      <c r="B154" s="579"/>
      <c r="C154" s="541"/>
      <c r="D154" s="543"/>
      <c r="E154" s="541"/>
      <c r="F154" s="543"/>
      <c r="G154" s="541"/>
      <c r="H154" s="541" t="s">
        <v>595</v>
      </c>
      <c r="I154" s="541" t="s">
        <v>516</v>
      </c>
      <c r="J154" s="577">
        <v>8</v>
      </c>
    </row>
    <row r="155" spans="1:10" ht="13.5">
      <c r="A155" s="543"/>
      <c r="B155" s="579"/>
      <c r="C155" s="541"/>
      <c r="D155" s="543"/>
      <c r="E155" s="541"/>
      <c r="F155" s="543"/>
      <c r="G155" s="541"/>
      <c r="H155" s="541" t="s">
        <v>596</v>
      </c>
      <c r="I155" s="541" t="s">
        <v>516</v>
      </c>
      <c r="J155" s="577">
        <v>139</v>
      </c>
    </row>
    <row r="156" spans="1:10" ht="13.5">
      <c r="A156" s="543"/>
      <c r="B156" s="579"/>
      <c r="C156" s="541"/>
      <c r="D156" s="543"/>
      <c r="E156" s="541"/>
      <c r="F156" s="543"/>
      <c r="G156" s="541"/>
      <c r="H156" s="541" t="s">
        <v>606</v>
      </c>
      <c r="I156" s="541" t="s">
        <v>516</v>
      </c>
      <c r="J156" s="577">
        <v>88</v>
      </c>
    </row>
    <row r="157" spans="1:10" ht="13.5">
      <c r="A157" s="543"/>
      <c r="B157" s="579"/>
      <c r="C157" s="541"/>
      <c r="D157" s="543"/>
      <c r="E157" s="541"/>
      <c r="F157" s="543"/>
      <c r="G157" s="541"/>
      <c r="H157" s="541" t="s">
        <v>597</v>
      </c>
      <c r="I157" s="541" t="s">
        <v>516</v>
      </c>
      <c r="J157" s="577">
        <v>293</v>
      </c>
    </row>
    <row r="158" spans="1:10" ht="13.5">
      <c r="A158" s="543"/>
      <c r="B158" s="579"/>
      <c r="C158" s="541"/>
      <c r="D158" s="543"/>
      <c r="E158" s="541"/>
      <c r="F158" s="543"/>
      <c r="G158" s="541"/>
      <c r="H158" s="541" t="s">
        <v>598</v>
      </c>
      <c r="I158" s="541" t="s">
        <v>516</v>
      </c>
      <c r="J158" s="577">
        <v>1753</v>
      </c>
    </row>
    <row r="159" spans="1:10" ht="13.5">
      <c r="A159" s="543"/>
      <c r="B159" s="579"/>
      <c r="C159" s="541"/>
      <c r="D159" s="543"/>
      <c r="E159" s="541"/>
      <c r="F159" s="543"/>
      <c r="G159" s="541"/>
      <c r="H159" s="541" t="s">
        <v>599</v>
      </c>
      <c r="I159" s="541" t="s">
        <v>516</v>
      </c>
      <c r="J159" s="577">
        <v>1169</v>
      </c>
    </row>
    <row r="160" spans="1:10" s="588" customFormat="1" ht="13.5">
      <c r="A160" s="583"/>
      <c r="B160" s="584"/>
      <c r="C160" s="585" t="s">
        <v>541</v>
      </c>
      <c r="D160" s="583"/>
      <c r="E160" s="585"/>
      <c r="F160" s="583"/>
      <c r="G160" s="585" t="s">
        <v>610</v>
      </c>
      <c r="H160" s="585"/>
      <c r="I160" s="585"/>
      <c r="J160" s="586">
        <v>4043</v>
      </c>
    </row>
    <row r="161" spans="1:10" ht="13.5">
      <c r="A161" s="543"/>
      <c r="B161" s="579"/>
      <c r="C161" s="541" t="s">
        <v>541</v>
      </c>
      <c r="D161" s="543"/>
      <c r="E161" s="541" t="s">
        <v>517</v>
      </c>
      <c r="F161" s="543"/>
      <c r="G161" s="541" t="s">
        <v>611</v>
      </c>
      <c r="H161" s="541" t="s">
        <v>590</v>
      </c>
      <c r="I161" s="541" t="s">
        <v>516</v>
      </c>
      <c r="J161" s="577">
        <v>35</v>
      </c>
    </row>
    <row r="162" spans="1:10" ht="13.5">
      <c r="A162" s="543"/>
      <c r="B162" s="579"/>
      <c r="C162" s="541"/>
      <c r="D162" s="543"/>
      <c r="E162" s="541"/>
      <c r="F162" s="543"/>
      <c r="G162" s="541"/>
      <c r="H162" s="541" t="s">
        <v>591</v>
      </c>
      <c r="I162" s="541" t="s">
        <v>516</v>
      </c>
      <c r="J162" s="577">
        <v>348</v>
      </c>
    </row>
    <row r="163" spans="1:10" ht="13.5">
      <c r="A163" s="543"/>
      <c r="B163" s="579"/>
      <c r="C163" s="541"/>
      <c r="D163" s="543"/>
      <c r="E163" s="541"/>
      <c r="F163" s="543"/>
      <c r="G163" s="541"/>
      <c r="H163" s="541" t="s">
        <v>592</v>
      </c>
      <c r="I163" s="541" t="s">
        <v>516</v>
      </c>
      <c r="J163" s="577">
        <v>64</v>
      </c>
    </row>
    <row r="164" spans="1:10" ht="13.5">
      <c r="A164" s="543"/>
      <c r="B164" s="579"/>
      <c r="C164" s="541"/>
      <c r="D164" s="543"/>
      <c r="E164" s="541"/>
      <c r="F164" s="543"/>
      <c r="G164" s="541"/>
      <c r="H164" s="541" t="s">
        <v>595</v>
      </c>
      <c r="I164" s="541" t="s">
        <v>516</v>
      </c>
      <c r="J164" s="577">
        <v>7</v>
      </c>
    </row>
    <row r="165" spans="1:10" ht="13.5">
      <c r="A165" s="543"/>
      <c r="B165" s="579"/>
      <c r="C165" s="541"/>
      <c r="D165" s="543"/>
      <c r="E165" s="541"/>
      <c r="F165" s="543"/>
      <c r="G165" s="541"/>
      <c r="H165" s="541" t="s">
        <v>596</v>
      </c>
      <c r="I165" s="541" t="s">
        <v>516</v>
      </c>
      <c r="J165" s="577">
        <v>118</v>
      </c>
    </row>
    <row r="166" spans="1:10" ht="13.5">
      <c r="A166" s="543"/>
      <c r="B166" s="579"/>
      <c r="C166" s="541"/>
      <c r="D166" s="543"/>
      <c r="E166" s="541"/>
      <c r="F166" s="543"/>
      <c r="G166" s="541"/>
      <c r="H166" s="541" t="s">
        <v>606</v>
      </c>
      <c r="I166" s="541" t="s">
        <v>516</v>
      </c>
      <c r="J166" s="577">
        <v>300</v>
      </c>
    </row>
    <row r="167" spans="1:10" ht="13.5">
      <c r="A167" s="543"/>
      <c r="B167" s="579"/>
      <c r="C167" s="541"/>
      <c r="D167" s="543"/>
      <c r="E167" s="541"/>
      <c r="F167" s="543"/>
      <c r="G167" s="541"/>
      <c r="H167" s="541" t="s">
        <v>597</v>
      </c>
      <c r="I167" s="541" t="s">
        <v>516</v>
      </c>
      <c r="J167" s="577">
        <v>248</v>
      </c>
    </row>
    <row r="168" spans="1:10" ht="13.5">
      <c r="A168" s="543"/>
      <c r="B168" s="579"/>
      <c r="C168" s="541"/>
      <c r="D168" s="543"/>
      <c r="E168" s="541"/>
      <c r="F168" s="543"/>
      <c r="G168" s="541"/>
      <c r="H168" s="541" t="s">
        <v>598</v>
      </c>
      <c r="I168" s="541" t="s">
        <v>516</v>
      </c>
      <c r="J168" s="577">
        <v>4800</v>
      </c>
    </row>
    <row r="169" spans="1:10" ht="13.5">
      <c r="A169" s="543"/>
      <c r="B169" s="579"/>
      <c r="C169" s="541"/>
      <c r="D169" s="543"/>
      <c r="E169" s="541"/>
      <c r="F169" s="543"/>
      <c r="G169" s="541"/>
      <c r="H169" s="541" t="s">
        <v>599</v>
      </c>
      <c r="I169" s="541" t="s">
        <v>516</v>
      </c>
      <c r="J169" s="577">
        <v>3200</v>
      </c>
    </row>
    <row r="170" spans="1:10" s="588" customFormat="1" ht="13.5">
      <c r="A170" s="583"/>
      <c r="B170" s="584"/>
      <c r="C170" s="585" t="s">
        <v>541</v>
      </c>
      <c r="D170" s="583"/>
      <c r="E170" s="585"/>
      <c r="F170" s="583"/>
      <c r="G170" s="585" t="s">
        <v>611</v>
      </c>
      <c r="H170" s="585"/>
      <c r="I170" s="585"/>
      <c r="J170" s="586">
        <v>9120</v>
      </c>
    </row>
    <row r="171" spans="1:10" ht="13.5">
      <c r="A171" s="543"/>
      <c r="B171" s="579"/>
      <c r="C171" s="541" t="s">
        <v>541</v>
      </c>
      <c r="D171" s="543"/>
      <c r="E171" s="541" t="s">
        <v>517</v>
      </c>
      <c r="F171" s="543"/>
      <c r="G171" s="541" t="s">
        <v>612</v>
      </c>
      <c r="H171" s="541" t="s">
        <v>592</v>
      </c>
      <c r="I171" s="541" t="s">
        <v>516</v>
      </c>
      <c r="J171" s="577">
        <v>16</v>
      </c>
    </row>
    <row r="172" spans="1:10" ht="13.5">
      <c r="A172" s="543"/>
      <c r="B172" s="579"/>
      <c r="C172" s="541"/>
      <c r="D172" s="543"/>
      <c r="E172" s="541"/>
      <c r="F172" s="543"/>
      <c r="G172" s="541"/>
      <c r="H172" s="541" t="s">
        <v>597</v>
      </c>
      <c r="I172" s="541" t="s">
        <v>516</v>
      </c>
      <c r="J172" s="577">
        <v>200</v>
      </c>
    </row>
    <row r="173" spans="1:10" ht="13.5">
      <c r="A173" s="543"/>
      <c r="B173" s="579"/>
      <c r="C173" s="541"/>
      <c r="D173" s="543"/>
      <c r="E173" s="541"/>
      <c r="F173" s="543"/>
      <c r="G173" s="541"/>
      <c r="H173" s="541" t="s">
        <v>598</v>
      </c>
      <c r="I173" s="541" t="s">
        <v>516</v>
      </c>
      <c r="J173" s="577">
        <v>2000</v>
      </c>
    </row>
    <row r="174" spans="1:10" s="588" customFormat="1" ht="13.5">
      <c r="A174" s="583"/>
      <c r="B174" s="584"/>
      <c r="C174" s="585" t="s">
        <v>541</v>
      </c>
      <c r="D174" s="583"/>
      <c r="E174" s="585"/>
      <c r="F174" s="583"/>
      <c r="G174" s="585" t="s">
        <v>612</v>
      </c>
      <c r="H174" s="585"/>
      <c r="I174" s="585"/>
      <c r="J174" s="586">
        <v>2216</v>
      </c>
    </row>
    <row r="175" spans="1:10" ht="13.5">
      <c r="A175" s="543"/>
      <c r="B175" s="579"/>
      <c r="C175" s="541" t="s">
        <v>541</v>
      </c>
      <c r="D175" s="543"/>
      <c r="E175" s="541" t="s">
        <v>517</v>
      </c>
      <c r="F175" s="543"/>
      <c r="G175" s="541" t="s">
        <v>613</v>
      </c>
      <c r="H175" s="541" t="s">
        <v>590</v>
      </c>
      <c r="I175" s="541" t="s">
        <v>516</v>
      </c>
      <c r="J175" s="577">
        <v>41</v>
      </c>
    </row>
    <row r="176" spans="1:10" ht="13.5">
      <c r="A176" s="543"/>
      <c r="B176" s="579"/>
      <c r="C176" s="541"/>
      <c r="D176" s="543"/>
      <c r="E176" s="541"/>
      <c r="F176" s="543"/>
      <c r="G176" s="541"/>
      <c r="H176" s="541" t="s">
        <v>591</v>
      </c>
      <c r="I176" s="541" t="s">
        <v>516</v>
      </c>
      <c r="J176" s="577">
        <v>401</v>
      </c>
    </row>
    <row r="177" spans="1:10" ht="13.5">
      <c r="A177" s="543"/>
      <c r="B177" s="579"/>
      <c r="C177" s="541"/>
      <c r="D177" s="543"/>
      <c r="E177" s="541"/>
      <c r="F177" s="543"/>
      <c r="G177" s="541"/>
      <c r="H177" s="541" t="s">
        <v>592</v>
      </c>
      <c r="I177" s="541" t="s">
        <v>516</v>
      </c>
      <c r="J177" s="577">
        <v>23</v>
      </c>
    </row>
    <row r="178" spans="1:10" ht="13.5">
      <c r="A178" s="543"/>
      <c r="B178" s="579"/>
      <c r="C178" s="541"/>
      <c r="D178" s="543"/>
      <c r="E178" s="541"/>
      <c r="F178" s="543"/>
      <c r="G178" s="541"/>
      <c r="H178" s="541" t="s">
        <v>593</v>
      </c>
      <c r="I178" s="541" t="s">
        <v>516</v>
      </c>
      <c r="J178" s="577">
        <v>86</v>
      </c>
    </row>
    <row r="179" spans="1:10" ht="13.5">
      <c r="A179" s="543"/>
      <c r="B179" s="579"/>
      <c r="C179" s="541"/>
      <c r="D179" s="543"/>
      <c r="E179" s="541"/>
      <c r="F179" s="543"/>
      <c r="G179" s="541"/>
      <c r="H179" s="541" t="s">
        <v>594</v>
      </c>
      <c r="I179" s="541" t="s">
        <v>516</v>
      </c>
      <c r="J179" s="577">
        <v>29</v>
      </c>
    </row>
    <row r="180" spans="1:10" ht="13.5">
      <c r="A180" s="543"/>
      <c r="B180" s="579"/>
      <c r="C180" s="541"/>
      <c r="D180" s="543"/>
      <c r="E180" s="541"/>
      <c r="F180" s="543"/>
      <c r="G180" s="541"/>
      <c r="H180" s="541" t="s">
        <v>595</v>
      </c>
      <c r="I180" s="541" t="s">
        <v>516</v>
      </c>
      <c r="J180" s="577">
        <v>8</v>
      </c>
    </row>
    <row r="181" spans="1:10" ht="13.5">
      <c r="A181" s="543"/>
      <c r="B181" s="579"/>
      <c r="C181" s="541"/>
      <c r="D181" s="543"/>
      <c r="E181" s="541"/>
      <c r="F181" s="543"/>
      <c r="G181" s="541"/>
      <c r="H181" s="541" t="s">
        <v>596</v>
      </c>
      <c r="I181" s="541" t="s">
        <v>516</v>
      </c>
      <c r="J181" s="577">
        <v>136</v>
      </c>
    </row>
    <row r="182" spans="1:10" ht="13.5">
      <c r="A182" s="543"/>
      <c r="B182" s="579"/>
      <c r="C182" s="541"/>
      <c r="D182" s="543"/>
      <c r="E182" s="541"/>
      <c r="F182" s="543"/>
      <c r="G182" s="541"/>
      <c r="H182" s="541" t="s">
        <v>597</v>
      </c>
      <c r="I182" s="541" t="s">
        <v>516</v>
      </c>
      <c r="J182" s="577">
        <v>287</v>
      </c>
    </row>
    <row r="183" spans="1:10" ht="13.5">
      <c r="A183" s="543"/>
      <c r="B183" s="579"/>
      <c r="C183" s="541"/>
      <c r="D183" s="543"/>
      <c r="E183" s="541"/>
      <c r="F183" s="543"/>
      <c r="G183" s="541"/>
      <c r="H183" s="541" t="s">
        <v>598</v>
      </c>
      <c r="I183" s="541" t="s">
        <v>516</v>
      </c>
      <c r="J183" s="577">
        <v>1718</v>
      </c>
    </row>
    <row r="184" spans="1:10" ht="13.5">
      <c r="A184" s="543"/>
      <c r="B184" s="579"/>
      <c r="C184" s="541"/>
      <c r="D184" s="543"/>
      <c r="E184" s="541"/>
      <c r="F184" s="543"/>
      <c r="G184" s="541"/>
      <c r="H184" s="541" t="s">
        <v>599</v>
      </c>
      <c r="I184" s="541" t="s">
        <v>516</v>
      </c>
      <c r="J184" s="577">
        <v>1145</v>
      </c>
    </row>
    <row r="185" spans="1:10" s="588" customFormat="1" ht="13.5">
      <c r="A185" s="583"/>
      <c r="B185" s="584"/>
      <c r="C185" s="585" t="s">
        <v>541</v>
      </c>
      <c r="D185" s="583"/>
      <c r="E185" s="585"/>
      <c r="F185" s="583"/>
      <c r="G185" s="585" t="s">
        <v>613</v>
      </c>
      <c r="H185" s="585"/>
      <c r="I185" s="585"/>
      <c r="J185" s="586">
        <v>3874</v>
      </c>
    </row>
    <row r="186" spans="1:10" ht="13.5">
      <c r="A186" s="543"/>
      <c r="B186" s="579"/>
      <c r="C186" s="541" t="s">
        <v>541</v>
      </c>
      <c r="D186" s="543"/>
      <c r="E186" s="541" t="s">
        <v>517</v>
      </c>
      <c r="F186" s="543"/>
      <c r="G186" s="541" t="s">
        <v>614</v>
      </c>
      <c r="H186" s="541" t="s">
        <v>603</v>
      </c>
      <c r="I186" s="541" t="s">
        <v>516</v>
      </c>
      <c r="J186" s="577">
        <v>3000</v>
      </c>
    </row>
    <row r="187" spans="1:10" s="588" customFormat="1" ht="13.5">
      <c r="A187" s="583"/>
      <c r="B187" s="584"/>
      <c r="C187" s="585" t="s">
        <v>541</v>
      </c>
      <c r="D187" s="583"/>
      <c r="E187" s="585"/>
      <c r="F187" s="583"/>
      <c r="G187" s="585" t="s">
        <v>614</v>
      </c>
      <c r="H187" s="585"/>
      <c r="I187" s="585"/>
      <c r="J187" s="586">
        <v>3000</v>
      </c>
    </row>
    <row r="188" spans="1:10" ht="13.5">
      <c r="A188" s="543"/>
      <c r="B188" s="579"/>
      <c r="C188" s="541" t="s">
        <v>541</v>
      </c>
      <c r="D188" s="543"/>
      <c r="E188" s="541" t="s">
        <v>517</v>
      </c>
      <c r="F188" s="543"/>
      <c r="G188" s="541" t="s">
        <v>615</v>
      </c>
      <c r="H188" s="541" t="s">
        <v>603</v>
      </c>
      <c r="I188" s="541" t="s">
        <v>516</v>
      </c>
      <c r="J188" s="577">
        <v>3000</v>
      </c>
    </row>
    <row r="189" spans="1:10" s="588" customFormat="1" ht="13.5">
      <c r="A189" s="583"/>
      <c r="B189" s="584"/>
      <c r="C189" s="585" t="s">
        <v>541</v>
      </c>
      <c r="D189" s="583"/>
      <c r="E189" s="585"/>
      <c r="F189" s="583"/>
      <c r="G189" s="585" t="s">
        <v>615</v>
      </c>
      <c r="H189" s="585"/>
      <c r="I189" s="585"/>
      <c r="J189" s="586">
        <v>3000</v>
      </c>
    </row>
    <row r="190" spans="1:10" ht="13.5">
      <c r="A190" s="543"/>
      <c r="B190" s="579"/>
      <c r="C190" s="541" t="s">
        <v>541</v>
      </c>
      <c r="D190" s="543"/>
      <c r="E190" s="541" t="s">
        <v>517</v>
      </c>
      <c r="F190" s="543"/>
      <c r="G190" s="541" t="s">
        <v>616</v>
      </c>
      <c r="H190" s="541" t="s">
        <v>590</v>
      </c>
      <c r="I190" s="541" t="s">
        <v>516</v>
      </c>
      <c r="J190" s="577">
        <v>43</v>
      </c>
    </row>
    <row r="191" spans="1:10" ht="13.5">
      <c r="A191" s="543"/>
      <c r="B191" s="579"/>
      <c r="C191" s="541"/>
      <c r="D191" s="543"/>
      <c r="E191" s="541"/>
      <c r="F191" s="543"/>
      <c r="G191" s="541"/>
      <c r="H191" s="541" t="s">
        <v>591</v>
      </c>
      <c r="I191" s="541" t="s">
        <v>516</v>
      </c>
      <c r="J191" s="577">
        <v>432</v>
      </c>
    </row>
    <row r="192" spans="1:10" ht="13.5">
      <c r="A192" s="543"/>
      <c r="B192" s="579"/>
      <c r="C192" s="541"/>
      <c r="D192" s="543"/>
      <c r="E192" s="541"/>
      <c r="F192" s="543"/>
      <c r="G192" s="541"/>
      <c r="H192" s="541" t="s">
        <v>592</v>
      </c>
      <c r="I192" s="541" t="s">
        <v>516</v>
      </c>
      <c r="J192" s="577">
        <v>25</v>
      </c>
    </row>
    <row r="193" spans="1:10" ht="13.5">
      <c r="A193" s="543"/>
      <c r="B193" s="579"/>
      <c r="C193" s="541"/>
      <c r="D193" s="543"/>
      <c r="E193" s="541"/>
      <c r="F193" s="543"/>
      <c r="G193" s="541"/>
      <c r="H193" s="541" t="s">
        <v>593</v>
      </c>
      <c r="I193" s="541" t="s">
        <v>516</v>
      </c>
      <c r="J193" s="577">
        <v>93</v>
      </c>
    </row>
    <row r="194" spans="1:10" ht="13.5">
      <c r="A194" s="543"/>
      <c r="B194" s="579"/>
      <c r="C194" s="541"/>
      <c r="D194" s="543"/>
      <c r="E194" s="541"/>
      <c r="F194" s="543"/>
      <c r="G194" s="541"/>
      <c r="H194" s="541" t="s">
        <v>594</v>
      </c>
      <c r="I194" s="541" t="s">
        <v>516</v>
      </c>
      <c r="J194" s="577">
        <v>31</v>
      </c>
    </row>
    <row r="195" spans="1:10" ht="13.5">
      <c r="A195" s="543"/>
      <c r="B195" s="579"/>
      <c r="C195" s="541"/>
      <c r="D195" s="543"/>
      <c r="E195" s="541"/>
      <c r="F195" s="543"/>
      <c r="G195" s="541"/>
      <c r="H195" s="541" t="s">
        <v>595</v>
      </c>
      <c r="I195" s="541" t="s">
        <v>516</v>
      </c>
      <c r="J195" s="577">
        <v>8</v>
      </c>
    </row>
    <row r="196" spans="1:10" ht="13.5">
      <c r="A196" s="543"/>
      <c r="B196" s="579"/>
      <c r="C196" s="541"/>
      <c r="D196" s="543"/>
      <c r="E196" s="541"/>
      <c r="F196" s="543"/>
      <c r="G196" s="541"/>
      <c r="H196" s="541" t="s">
        <v>596</v>
      </c>
      <c r="I196" s="541" t="s">
        <v>516</v>
      </c>
      <c r="J196" s="577">
        <v>147</v>
      </c>
    </row>
    <row r="197" spans="1:10" ht="13.5">
      <c r="A197" s="543"/>
      <c r="B197" s="579"/>
      <c r="C197" s="541"/>
      <c r="D197" s="543"/>
      <c r="E197" s="541"/>
      <c r="F197" s="543"/>
      <c r="G197" s="541"/>
      <c r="H197" s="541" t="s">
        <v>606</v>
      </c>
      <c r="I197" s="541" t="s">
        <v>516</v>
      </c>
      <c r="J197" s="577">
        <v>80</v>
      </c>
    </row>
    <row r="198" spans="1:10" ht="13.5">
      <c r="A198" s="543"/>
      <c r="B198" s="579"/>
      <c r="C198" s="541"/>
      <c r="D198" s="543"/>
      <c r="E198" s="541"/>
      <c r="F198" s="543"/>
      <c r="G198" s="541"/>
      <c r="H198" s="541" t="s">
        <v>597</v>
      </c>
      <c r="I198" s="541" t="s">
        <v>516</v>
      </c>
      <c r="J198" s="577">
        <v>309</v>
      </c>
    </row>
    <row r="199" spans="1:10" ht="13.5">
      <c r="A199" s="543"/>
      <c r="B199" s="579"/>
      <c r="C199" s="541"/>
      <c r="D199" s="543"/>
      <c r="E199" s="541"/>
      <c r="F199" s="543"/>
      <c r="G199" s="541"/>
      <c r="H199" s="541" t="s">
        <v>523</v>
      </c>
      <c r="I199" s="541" t="s">
        <v>516</v>
      </c>
      <c r="J199" s="577">
        <v>3090</v>
      </c>
    </row>
    <row r="200" spans="1:10" s="588" customFormat="1" ht="13.5">
      <c r="A200" s="583"/>
      <c r="B200" s="584"/>
      <c r="C200" s="585" t="s">
        <v>541</v>
      </c>
      <c r="D200" s="583"/>
      <c r="E200" s="585"/>
      <c r="F200" s="583"/>
      <c r="G200" s="585" t="s">
        <v>616</v>
      </c>
      <c r="H200" s="585"/>
      <c r="I200" s="585"/>
      <c r="J200" s="586">
        <v>4258</v>
      </c>
    </row>
    <row r="201" spans="1:10" ht="13.5">
      <c r="A201" s="543"/>
      <c r="B201" s="579"/>
      <c r="C201" s="541" t="s">
        <v>541</v>
      </c>
      <c r="D201" s="543"/>
      <c r="E201" s="541" t="s">
        <v>517</v>
      </c>
      <c r="F201" s="543"/>
      <c r="G201" s="541" t="s">
        <v>617</v>
      </c>
      <c r="H201" s="541" t="s">
        <v>590</v>
      </c>
      <c r="I201" s="541" t="s">
        <v>516</v>
      </c>
      <c r="J201" s="577">
        <v>49</v>
      </c>
    </row>
    <row r="202" spans="1:10" ht="13.5">
      <c r="A202" s="543"/>
      <c r="B202" s="579"/>
      <c r="C202" s="541"/>
      <c r="D202" s="543"/>
      <c r="E202" s="541"/>
      <c r="F202" s="543"/>
      <c r="G202" s="541"/>
      <c r="H202" s="541" t="s">
        <v>591</v>
      </c>
      <c r="I202" s="541" t="s">
        <v>516</v>
      </c>
      <c r="J202" s="577">
        <v>492</v>
      </c>
    </row>
    <row r="203" spans="1:10" ht="13.5">
      <c r="A203" s="543"/>
      <c r="B203" s="579"/>
      <c r="C203" s="541"/>
      <c r="D203" s="543"/>
      <c r="E203" s="541"/>
      <c r="F203" s="543"/>
      <c r="G203" s="541"/>
      <c r="H203" s="541" t="s">
        <v>592</v>
      </c>
      <c r="I203" s="541" t="s">
        <v>516</v>
      </c>
      <c r="J203" s="577">
        <v>28</v>
      </c>
    </row>
    <row r="204" spans="1:10" ht="13.5">
      <c r="A204" s="543"/>
      <c r="B204" s="579"/>
      <c r="C204" s="541"/>
      <c r="D204" s="543"/>
      <c r="E204" s="541"/>
      <c r="F204" s="543"/>
      <c r="G204" s="541"/>
      <c r="H204" s="541" t="s">
        <v>593</v>
      </c>
      <c r="I204" s="541" t="s">
        <v>516</v>
      </c>
      <c r="J204" s="577">
        <v>106</v>
      </c>
    </row>
    <row r="205" spans="1:10" ht="13.5">
      <c r="A205" s="543"/>
      <c r="B205" s="579"/>
      <c r="C205" s="541"/>
      <c r="D205" s="543"/>
      <c r="E205" s="541"/>
      <c r="F205" s="543"/>
      <c r="G205" s="541"/>
      <c r="H205" s="541" t="s">
        <v>594</v>
      </c>
      <c r="I205" s="541" t="s">
        <v>516</v>
      </c>
      <c r="J205" s="577">
        <v>35</v>
      </c>
    </row>
    <row r="206" spans="1:10" ht="13.5">
      <c r="A206" s="543"/>
      <c r="B206" s="579"/>
      <c r="C206" s="541"/>
      <c r="D206" s="543"/>
      <c r="E206" s="541"/>
      <c r="F206" s="543"/>
      <c r="G206" s="541"/>
      <c r="H206" s="541" t="s">
        <v>595</v>
      </c>
      <c r="I206" s="541" t="s">
        <v>516</v>
      </c>
      <c r="J206" s="577">
        <v>9</v>
      </c>
    </row>
    <row r="207" spans="1:10" ht="13.5">
      <c r="A207" s="543"/>
      <c r="B207" s="579"/>
      <c r="C207" s="541"/>
      <c r="D207" s="543"/>
      <c r="E207" s="541"/>
      <c r="F207" s="543"/>
      <c r="G207" s="541"/>
      <c r="H207" s="541" t="s">
        <v>596</v>
      </c>
      <c r="I207" s="541" t="s">
        <v>516</v>
      </c>
      <c r="J207" s="577">
        <v>167</v>
      </c>
    </row>
    <row r="208" spans="1:10" ht="13.5">
      <c r="A208" s="543"/>
      <c r="B208" s="579"/>
      <c r="C208" s="541"/>
      <c r="D208" s="543"/>
      <c r="E208" s="541"/>
      <c r="F208" s="543"/>
      <c r="G208" s="541"/>
      <c r="H208" s="541" t="s">
        <v>597</v>
      </c>
      <c r="I208" s="541" t="s">
        <v>516</v>
      </c>
      <c r="J208" s="577">
        <v>352</v>
      </c>
    </row>
    <row r="209" spans="1:10" ht="13.5">
      <c r="A209" s="543"/>
      <c r="B209" s="579"/>
      <c r="C209" s="541"/>
      <c r="D209" s="543"/>
      <c r="E209" s="541" t="s">
        <v>513</v>
      </c>
      <c r="F209" s="543"/>
      <c r="G209" s="541"/>
      <c r="H209" s="541" t="s">
        <v>603</v>
      </c>
      <c r="I209" s="541" t="s">
        <v>516</v>
      </c>
      <c r="J209" s="577">
        <v>-3000</v>
      </c>
    </row>
    <row r="210" spans="1:10" ht="13.5">
      <c r="A210" s="543"/>
      <c r="B210" s="579"/>
      <c r="C210" s="541"/>
      <c r="D210" s="543"/>
      <c r="E210" s="541" t="s">
        <v>517</v>
      </c>
      <c r="F210" s="543"/>
      <c r="G210" s="541"/>
      <c r="H210" s="541" t="s">
        <v>598</v>
      </c>
      <c r="I210" s="541" t="s">
        <v>516</v>
      </c>
      <c r="J210" s="577">
        <v>2814</v>
      </c>
    </row>
    <row r="211" spans="1:10" ht="13.5">
      <c r="A211" s="543"/>
      <c r="B211" s="579"/>
      <c r="C211" s="541"/>
      <c r="D211" s="543"/>
      <c r="E211" s="541"/>
      <c r="F211" s="543"/>
      <c r="G211" s="541"/>
      <c r="H211" s="541" t="s">
        <v>599</v>
      </c>
      <c r="I211" s="541" t="s">
        <v>516</v>
      </c>
      <c r="J211" s="577">
        <v>704</v>
      </c>
    </row>
    <row r="212" spans="1:10" s="588" customFormat="1" ht="13.5">
      <c r="A212" s="583"/>
      <c r="B212" s="584"/>
      <c r="C212" s="585" t="s">
        <v>541</v>
      </c>
      <c r="D212" s="583"/>
      <c r="E212" s="585"/>
      <c r="F212" s="583"/>
      <c r="G212" s="585" t="s">
        <v>617</v>
      </c>
      <c r="H212" s="585"/>
      <c r="I212" s="585"/>
      <c r="J212" s="586">
        <v>1756</v>
      </c>
    </row>
    <row r="213" spans="1:10" ht="14.25" thickBot="1">
      <c r="A213" s="589" t="s">
        <v>618</v>
      </c>
      <c r="B213" s="590"/>
      <c r="C213" s="591"/>
      <c r="D213" s="590"/>
      <c r="E213" s="591"/>
      <c r="F213" s="590"/>
      <c r="G213" s="591"/>
      <c r="H213" s="591"/>
      <c r="I213" s="591"/>
      <c r="J213" s="592">
        <f>SUM(J84+J95+J108+J119+J133+J137+J148+J160+J170+J174+J185+J187+J189+J200+J212)</f>
        <v>0</v>
      </c>
    </row>
    <row r="214" spans="1:10" ht="13.5" thickTop="1">
      <c r="A214" s="575"/>
      <c r="B214" s="575"/>
      <c r="C214" s="575"/>
      <c r="D214" s="575"/>
      <c r="E214" s="575"/>
      <c r="F214" s="575"/>
      <c r="G214" s="575"/>
      <c r="H214" s="575"/>
      <c r="I214" s="575"/>
      <c r="J214" s="575"/>
    </row>
    <row r="215" spans="1:10" ht="13.5">
      <c r="A215" s="541">
        <v>215</v>
      </c>
      <c r="B215" s="542">
        <v>41457</v>
      </c>
      <c r="C215" s="541">
        <v>132</v>
      </c>
      <c r="D215" s="543" t="s">
        <v>619</v>
      </c>
      <c r="E215" s="543" t="s">
        <v>513</v>
      </c>
      <c r="F215" s="543" t="s">
        <v>514</v>
      </c>
      <c r="G215" s="541">
        <v>31</v>
      </c>
      <c r="H215" s="541" t="s">
        <v>607</v>
      </c>
      <c r="I215" s="541" t="s">
        <v>516</v>
      </c>
      <c r="J215" s="593">
        <v>-900</v>
      </c>
    </row>
    <row r="216" spans="1:10" ht="13.5">
      <c r="A216" s="543"/>
      <c r="B216" s="542"/>
      <c r="C216" s="541"/>
      <c r="D216" s="543"/>
      <c r="E216" s="543" t="s">
        <v>517</v>
      </c>
      <c r="F216" s="543" t="s">
        <v>518</v>
      </c>
      <c r="G216" s="541">
        <v>31</v>
      </c>
      <c r="H216" s="541" t="s">
        <v>620</v>
      </c>
      <c r="I216" s="541" t="s">
        <v>516</v>
      </c>
      <c r="J216" s="593">
        <v>400</v>
      </c>
    </row>
    <row r="217" spans="1:10" ht="13.5">
      <c r="A217" s="580"/>
      <c r="B217" s="542"/>
      <c r="C217" s="541"/>
      <c r="D217" s="543"/>
      <c r="E217" s="543"/>
      <c r="F217" s="543"/>
      <c r="G217" s="541"/>
      <c r="H217" s="541" t="s">
        <v>621</v>
      </c>
      <c r="I217" s="541" t="s">
        <v>516</v>
      </c>
      <c r="J217" s="593">
        <v>500</v>
      </c>
    </row>
    <row r="218" spans="1:10" ht="13.5">
      <c r="A218" s="570" t="s">
        <v>622</v>
      </c>
      <c r="B218" s="594"/>
      <c r="C218" s="595">
        <v>132</v>
      </c>
      <c r="D218" s="594"/>
      <c r="E218" s="594"/>
      <c r="F218" s="594"/>
      <c r="G218" s="595">
        <v>31</v>
      </c>
      <c r="H218" s="596"/>
      <c r="I218" s="596"/>
      <c r="J218" s="597">
        <f>SUM(J215:J217)</f>
        <v>0</v>
      </c>
    </row>
    <row r="219" spans="1:10" ht="12.75">
      <c r="A219" s="598"/>
      <c r="B219" s="598"/>
      <c r="C219" s="599"/>
      <c r="D219" s="598"/>
      <c r="E219" s="598"/>
      <c r="F219" s="598"/>
      <c r="G219" s="598"/>
      <c r="H219" s="598"/>
      <c r="I219" s="598"/>
      <c r="J219" s="598"/>
    </row>
    <row r="220" spans="1:10" ht="13.5">
      <c r="A220" s="541">
        <v>222</v>
      </c>
      <c r="B220" s="542">
        <v>41464</v>
      </c>
      <c r="C220" s="541">
        <v>132</v>
      </c>
      <c r="D220" s="543" t="s">
        <v>623</v>
      </c>
      <c r="E220" s="543" t="s">
        <v>513</v>
      </c>
      <c r="F220" s="543" t="s">
        <v>514</v>
      </c>
      <c r="G220" s="541">
        <v>35</v>
      </c>
      <c r="H220" s="541" t="s">
        <v>530</v>
      </c>
      <c r="I220" s="541" t="s">
        <v>516</v>
      </c>
      <c r="J220" s="593">
        <v>-1500</v>
      </c>
    </row>
    <row r="221" spans="1:10" ht="13.5">
      <c r="A221" s="543"/>
      <c r="B221" s="542"/>
      <c r="C221" s="543"/>
      <c r="D221" s="543"/>
      <c r="E221" s="543" t="s">
        <v>517</v>
      </c>
      <c r="F221" s="543" t="s">
        <v>518</v>
      </c>
      <c r="G221" s="541">
        <v>35</v>
      </c>
      <c r="H221" s="541" t="s">
        <v>543</v>
      </c>
      <c r="I221" s="541" t="s">
        <v>516</v>
      </c>
      <c r="J221" s="593">
        <v>500</v>
      </c>
    </row>
    <row r="222" spans="1:10" ht="13.5">
      <c r="A222" s="580"/>
      <c r="B222" s="542"/>
      <c r="C222" s="543"/>
      <c r="D222" s="543"/>
      <c r="E222" s="543"/>
      <c r="F222" s="543"/>
      <c r="G222" s="541"/>
      <c r="H222" s="541" t="s">
        <v>624</v>
      </c>
      <c r="I222" s="541" t="s">
        <v>516</v>
      </c>
      <c r="J222" s="593">
        <v>1000</v>
      </c>
    </row>
    <row r="223" spans="1:10" ht="13.5">
      <c r="A223" s="570" t="s">
        <v>625</v>
      </c>
      <c r="B223" s="594"/>
      <c r="C223" s="595">
        <v>132</v>
      </c>
      <c r="D223" s="596"/>
      <c r="E223" s="596"/>
      <c r="F223" s="596"/>
      <c r="G223" s="595">
        <v>35</v>
      </c>
      <c r="H223" s="596"/>
      <c r="I223" s="596"/>
      <c r="J223" s="597">
        <f>SUM(J220:J222)</f>
        <v>0</v>
      </c>
    </row>
    <row r="224" spans="1:10" ht="12.75">
      <c r="A224" s="598"/>
      <c r="B224" s="598"/>
      <c r="C224" s="599"/>
      <c r="D224" s="598"/>
      <c r="E224" s="598"/>
      <c r="F224" s="598"/>
      <c r="G224" s="598"/>
      <c r="H224" s="598"/>
      <c r="I224" s="598"/>
      <c r="J224" s="598"/>
    </row>
    <row r="225" spans="1:10" ht="13.5">
      <c r="A225" s="541">
        <v>223</v>
      </c>
      <c r="B225" s="542">
        <v>41464</v>
      </c>
      <c r="C225" s="541">
        <v>132</v>
      </c>
      <c r="D225" s="543" t="s">
        <v>626</v>
      </c>
      <c r="E225" s="543" t="s">
        <v>513</v>
      </c>
      <c r="F225" s="543" t="s">
        <v>514</v>
      </c>
      <c r="G225" s="541">
        <v>35</v>
      </c>
      <c r="H225" s="541" t="s">
        <v>547</v>
      </c>
      <c r="I225" s="541" t="s">
        <v>548</v>
      </c>
      <c r="J225" s="593">
        <v>-16800</v>
      </c>
    </row>
    <row r="226" spans="1:10" ht="13.5">
      <c r="A226" s="543"/>
      <c r="B226" s="542"/>
      <c r="C226" s="543"/>
      <c r="D226" s="543"/>
      <c r="E226" s="543" t="s">
        <v>517</v>
      </c>
      <c r="F226" s="543" t="s">
        <v>518</v>
      </c>
      <c r="G226" s="541">
        <v>35</v>
      </c>
      <c r="H226" s="541" t="s">
        <v>627</v>
      </c>
      <c r="I226" s="541" t="s">
        <v>516</v>
      </c>
      <c r="J226" s="593">
        <v>16800</v>
      </c>
    </row>
    <row r="227" spans="1:10" ht="13.5">
      <c r="A227" s="570" t="s">
        <v>628</v>
      </c>
      <c r="B227" s="594"/>
      <c r="C227" s="595">
        <v>132</v>
      </c>
      <c r="D227" s="596"/>
      <c r="E227" s="596"/>
      <c r="F227" s="596"/>
      <c r="G227" s="595">
        <v>35</v>
      </c>
      <c r="H227" s="596"/>
      <c r="I227" s="596"/>
      <c r="J227" s="597">
        <f>SUM(J225:J226)</f>
        <v>0</v>
      </c>
    </row>
    <row r="228" spans="1:10" ht="12.75">
      <c r="A228" s="600"/>
      <c r="B228" s="600"/>
      <c r="C228" s="600"/>
      <c r="D228" s="600"/>
      <c r="E228" s="600"/>
      <c r="F228" s="600"/>
      <c r="G228" s="600"/>
      <c r="H228" s="600"/>
      <c r="I228" s="600"/>
      <c r="J228" s="600"/>
    </row>
    <row r="229" spans="1:10" ht="13.5">
      <c r="A229" s="541">
        <v>231</v>
      </c>
      <c r="B229" s="579">
        <v>41470</v>
      </c>
      <c r="C229" s="541" t="s">
        <v>541</v>
      </c>
      <c r="D229" s="543" t="s">
        <v>629</v>
      </c>
      <c r="E229" s="541" t="s">
        <v>517</v>
      </c>
      <c r="F229" s="543" t="s">
        <v>514</v>
      </c>
      <c r="G229" s="541" t="s">
        <v>617</v>
      </c>
      <c r="H229" s="541" t="s">
        <v>630</v>
      </c>
      <c r="I229" s="541" t="s">
        <v>516</v>
      </c>
      <c r="J229" s="593">
        <v>68124</v>
      </c>
    </row>
    <row r="230" spans="1:10" ht="13.5">
      <c r="A230" s="543"/>
      <c r="B230" s="579"/>
      <c r="C230" s="541"/>
      <c r="D230" s="543"/>
      <c r="E230" s="541"/>
      <c r="F230" s="543" t="s">
        <v>518</v>
      </c>
      <c r="G230" s="541"/>
      <c r="H230" s="541" t="s">
        <v>597</v>
      </c>
      <c r="I230" s="541" t="s">
        <v>516</v>
      </c>
      <c r="J230" s="593">
        <v>6813</v>
      </c>
    </row>
    <row r="231" spans="1:10" ht="13.5">
      <c r="A231" s="543"/>
      <c r="B231" s="579"/>
      <c r="C231" s="541"/>
      <c r="D231" s="543"/>
      <c r="E231" s="541"/>
      <c r="F231" s="543"/>
      <c r="G231" s="541"/>
      <c r="H231" s="541" t="s">
        <v>590</v>
      </c>
      <c r="I231" s="541" t="s">
        <v>516</v>
      </c>
      <c r="J231" s="593">
        <v>954</v>
      </c>
    </row>
    <row r="232" spans="1:10" ht="13.5">
      <c r="A232" s="543"/>
      <c r="B232" s="579"/>
      <c r="C232" s="541"/>
      <c r="D232" s="543"/>
      <c r="E232" s="541"/>
      <c r="F232" s="543"/>
      <c r="G232" s="541"/>
      <c r="H232" s="541" t="s">
        <v>591</v>
      </c>
      <c r="I232" s="541" t="s">
        <v>516</v>
      </c>
      <c r="J232" s="593">
        <v>9538</v>
      </c>
    </row>
    <row r="233" spans="1:10" ht="13.5">
      <c r="A233" s="543"/>
      <c r="B233" s="579"/>
      <c r="C233" s="541"/>
      <c r="D233" s="543"/>
      <c r="E233" s="541"/>
      <c r="F233" s="543"/>
      <c r="G233" s="541"/>
      <c r="H233" s="541" t="s">
        <v>592</v>
      </c>
      <c r="I233" s="541" t="s">
        <v>516</v>
      </c>
      <c r="J233" s="593">
        <v>545</v>
      </c>
    </row>
    <row r="234" spans="1:10" ht="13.5">
      <c r="A234" s="543"/>
      <c r="B234" s="579"/>
      <c r="C234" s="541"/>
      <c r="D234" s="543"/>
      <c r="E234" s="541"/>
      <c r="F234" s="543"/>
      <c r="G234" s="541"/>
      <c r="H234" s="541" t="s">
        <v>593</v>
      </c>
      <c r="I234" s="541" t="s">
        <v>516</v>
      </c>
      <c r="J234" s="593">
        <v>2044</v>
      </c>
    </row>
    <row r="235" spans="1:10" ht="13.5">
      <c r="A235" s="543"/>
      <c r="B235" s="579"/>
      <c r="C235" s="541"/>
      <c r="D235" s="543"/>
      <c r="E235" s="541"/>
      <c r="F235" s="543"/>
      <c r="G235" s="541"/>
      <c r="H235" s="541" t="s">
        <v>594</v>
      </c>
      <c r="I235" s="541" t="s">
        <v>516</v>
      </c>
      <c r="J235" s="593">
        <v>682</v>
      </c>
    </row>
    <row r="236" spans="1:10" ht="13.5">
      <c r="A236" s="543"/>
      <c r="B236" s="579"/>
      <c r="C236" s="541"/>
      <c r="D236" s="543"/>
      <c r="E236" s="541"/>
      <c r="F236" s="543"/>
      <c r="G236" s="541"/>
      <c r="H236" s="541" t="s">
        <v>595</v>
      </c>
      <c r="I236" s="541" t="s">
        <v>516</v>
      </c>
      <c r="J236" s="593">
        <v>171</v>
      </c>
    </row>
    <row r="237" spans="1:10" ht="13.5">
      <c r="A237" s="543"/>
      <c r="B237" s="579"/>
      <c r="C237" s="541"/>
      <c r="D237" s="543"/>
      <c r="E237" s="541"/>
      <c r="F237" s="543"/>
      <c r="G237" s="541"/>
      <c r="H237" s="541" t="s">
        <v>596</v>
      </c>
      <c r="I237" s="541" t="s">
        <v>516</v>
      </c>
      <c r="J237" s="593">
        <v>3236</v>
      </c>
    </row>
    <row r="238" spans="1:10" ht="13.5">
      <c r="A238" s="543"/>
      <c r="B238" s="579"/>
      <c r="C238" s="541"/>
      <c r="D238" s="543"/>
      <c r="E238" s="541"/>
      <c r="F238" s="543"/>
      <c r="G238" s="541"/>
      <c r="H238" s="541" t="s">
        <v>606</v>
      </c>
      <c r="I238" s="541" t="s">
        <v>516</v>
      </c>
      <c r="J238" s="593">
        <v>2044</v>
      </c>
    </row>
    <row r="239" spans="1:10" ht="13.5">
      <c r="A239" s="583"/>
      <c r="B239" s="584"/>
      <c r="C239" s="585" t="s">
        <v>541</v>
      </c>
      <c r="D239" s="583"/>
      <c r="E239" s="585"/>
      <c r="F239" s="583"/>
      <c r="G239" s="585" t="s">
        <v>617</v>
      </c>
      <c r="H239" s="541"/>
      <c r="I239" s="541"/>
      <c r="J239" s="593">
        <f>SUM(J229:J238)</f>
        <v>94151</v>
      </c>
    </row>
    <row r="240" spans="1:10" ht="13.5">
      <c r="A240" s="543"/>
      <c r="B240" s="579"/>
      <c r="C240" s="541" t="s">
        <v>541</v>
      </c>
      <c r="D240" s="543"/>
      <c r="E240" s="541" t="s">
        <v>517</v>
      </c>
      <c r="F240" s="543"/>
      <c r="G240" s="550" t="s">
        <v>631</v>
      </c>
      <c r="H240" s="541" t="s">
        <v>630</v>
      </c>
      <c r="I240" s="541" t="s">
        <v>516</v>
      </c>
      <c r="J240" s="593">
        <v>24330</v>
      </c>
    </row>
    <row r="241" spans="1:10" ht="13.5">
      <c r="A241" s="543"/>
      <c r="B241" s="579"/>
      <c r="C241" s="541"/>
      <c r="D241" s="543"/>
      <c r="E241" s="541"/>
      <c r="F241" s="543"/>
      <c r="G241" s="601"/>
      <c r="H241" s="541" t="s">
        <v>597</v>
      </c>
      <c r="I241" s="541" t="s">
        <v>516</v>
      </c>
      <c r="J241" s="593">
        <v>2433</v>
      </c>
    </row>
    <row r="242" spans="1:10" ht="13.5">
      <c r="A242" s="543"/>
      <c r="B242" s="579"/>
      <c r="C242" s="541"/>
      <c r="D242" s="543"/>
      <c r="E242" s="541"/>
      <c r="F242" s="543"/>
      <c r="G242" s="601"/>
      <c r="H242" s="541" t="s">
        <v>590</v>
      </c>
      <c r="I242" s="541" t="s">
        <v>516</v>
      </c>
      <c r="J242" s="593">
        <v>341</v>
      </c>
    </row>
    <row r="243" spans="1:10" ht="13.5">
      <c r="A243" s="543"/>
      <c r="B243" s="579"/>
      <c r="C243" s="541"/>
      <c r="D243" s="543"/>
      <c r="E243" s="541"/>
      <c r="F243" s="543"/>
      <c r="G243" s="601"/>
      <c r="H243" s="541" t="s">
        <v>591</v>
      </c>
      <c r="I243" s="541" t="s">
        <v>516</v>
      </c>
      <c r="J243" s="593">
        <v>3407</v>
      </c>
    </row>
    <row r="244" spans="1:10" ht="13.5">
      <c r="A244" s="543"/>
      <c r="B244" s="579"/>
      <c r="C244" s="541"/>
      <c r="D244" s="543"/>
      <c r="E244" s="541"/>
      <c r="F244" s="543"/>
      <c r="G244" s="601"/>
      <c r="H244" s="541" t="s">
        <v>592</v>
      </c>
      <c r="I244" s="541" t="s">
        <v>516</v>
      </c>
      <c r="J244" s="593">
        <v>195</v>
      </c>
    </row>
    <row r="245" spans="1:10" ht="13.5">
      <c r="A245" s="543"/>
      <c r="B245" s="579"/>
      <c r="C245" s="541"/>
      <c r="D245" s="543"/>
      <c r="E245" s="541"/>
      <c r="F245" s="543"/>
      <c r="G245" s="601"/>
      <c r="H245" s="541" t="s">
        <v>593</v>
      </c>
      <c r="I245" s="541" t="s">
        <v>516</v>
      </c>
      <c r="J245" s="593">
        <v>730</v>
      </c>
    </row>
    <row r="246" spans="1:10" ht="13.5">
      <c r="A246" s="543"/>
      <c r="B246" s="579"/>
      <c r="C246" s="541"/>
      <c r="D246" s="543"/>
      <c r="E246" s="541"/>
      <c r="F246" s="543"/>
      <c r="G246" s="601"/>
      <c r="H246" s="541" t="s">
        <v>594</v>
      </c>
      <c r="I246" s="541" t="s">
        <v>516</v>
      </c>
      <c r="J246" s="593">
        <v>244</v>
      </c>
    </row>
    <row r="247" spans="1:10" ht="13.5">
      <c r="A247" s="543"/>
      <c r="B247" s="579"/>
      <c r="C247" s="541"/>
      <c r="D247" s="543"/>
      <c r="E247" s="541"/>
      <c r="F247" s="543"/>
      <c r="G247" s="601"/>
      <c r="H247" s="541" t="s">
        <v>595</v>
      </c>
      <c r="I247" s="541" t="s">
        <v>516</v>
      </c>
      <c r="J247" s="593">
        <v>61</v>
      </c>
    </row>
    <row r="248" spans="1:10" ht="13.5">
      <c r="A248" s="543"/>
      <c r="B248" s="579"/>
      <c r="C248" s="541"/>
      <c r="D248" s="543"/>
      <c r="E248" s="541"/>
      <c r="F248" s="543"/>
      <c r="G248" s="601"/>
      <c r="H248" s="541" t="s">
        <v>596</v>
      </c>
      <c r="I248" s="541" t="s">
        <v>516</v>
      </c>
      <c r="J248" s="593">
        <v>1156</v>
      </c>
    </row>
    <row r="249" spans="1:10" ht="13.5">
      <c r="A249" s="543"/>
      <c r="B249" s="579"/>
      <c r="C249" s="541"/>
      <c r="D249" s="543"/>
      <c r="E249" s="541"/>
      <c r="F249" s="543"/>
      <c r="G249" s="601"/>
      <c r="H249" s="541" t="s">
        <v>606</v>
      </c>
      <c r="I249" s="541" t="s">
        <v>516</v>
      </c>
      <c r="J249" s="593">
        <v>730</v>
      </c>
    </row>
    <row r="250" spans="1:10" ht="13.5">
      <c r="A250" s="583"/>
      <c r="B250" s="584"/>
      <c r="C250" s="585" t="s">
        <v>541</v>
      </c>
      <c r="D250" s="583"/>
      <c r="E250" s="585"/>
      <c r="F250" s="583"/>
      <c r="G250" s="602" t="s">
        <v>631</v>
      </c>
      <c r="H250" s="585"/>
      <c r="I250" s="585"/>
      <c r="J250" s="586">
        <f>SUM(J240:J249)</f>
        <v>33627</v>
      </c>
    </row>
    <row r="251" spans="1:10" ht="13.5">
      <c r="A251" s="543"/>
      <c r="B251" s="579"/>
      <c r="C251" s="541" t="s">
        <v>541</v>
      </c>
      <c r="D251" s="543"/>
      <c r="E251" s="541" t="s">
        <v>517</v>
      </c>
      <c r="F251" s="543"/>
      <c r="G251" s="550" t="s">
        <v>616</v>
      </c>
      <c r="H251" s="541" t="s">
        <v>630</v>
      </c>
      <c r="I251" s="541" t="s">
        <v>516</v>
      </c>
      <c r="J251" s="593">
        <v>4866</v>
      </c>
    </row>
    <row r="252" spans="1:10" ht="13.5">
      <c r="A252" s="543"/>
      <c r="B252" s="579"/>
      <c r="C252" s="541"/>
      <c r="D252" s="543"/>
      <c r="E252" s="541"/>
      <c r="F252" s="543"/>
      <c r="G252" s="550"/>
      <c r="H252" s="541" t="s">
        <v>597</v>
      </c>
      <c r="I252" s="541" t="s">
        <v>516</v>
      </c>
      <c r="J252" s="593">
        <v>487</v>
      </c>
    </row>
    <row r="253" spans="1:10" ht="13.5">
      <c r="A253" s="543"/>
      <c r="B253" s="579"/>
      <c r="C253" s="541"/>
      <c r="D253" s="543"/>
      <c r="E253" s="541"/>
      <c r="F253" s="543"/>
      <c r="G253" s="550"/>
      <c r="H253" s="541" t="s">
        <v>590</v>
      </c>
      <c r="I253" s="541" t="s">
        <v>516</v>
      </c>
      <c r="J253" s="593">
        <v>69</v>
      </c>
    </row>
    <row r="254" spans="1:10" ht="13.5">
      <c r="A254" s="543"/>
      <c r="B254" s="579"/>
      <c r="C254" s="541"/>
      <c r="D254" s="543"/>
      <c r="E254" s="541"/>
      <c r="F254" s="543"/>
      <c r="G254" s="550"/>
      <c r="H254" s="541" t="s">
        <v>591</v>
      </c>
      <c r="I254" s="541" t="s">
        <v>516</v>
      </c>
      <c r="J254" s="593">
        <v>682</v>
      </c>
    </row>
    <row r="255" spans="1:10" ht="13.5">
      <c r="A255" s="543"/>
      <c r="B255" s="579"/>
      <c r="C255" s="541"/>
      <c r="D255" s="543"/>
      <c r="E255" s="541"/>
      <c r="F255" s="543"/>
      <c r="G255" s="550"/>
      <c r="H255" s="541" t="s">
        <v>592</v>
      </c>
      <c r="I255" s="541" t="s">
        <v>516</v>
      </c>
      <c r="J255" s="593">
        <v>39</v>
      </c>
    </row>
    <row r="256" spans="1:10" ht="13.5">
      <c r="A256" s="543"/>
      <c r="B256" s="579"/>
      <c r="C256" s="541"/>
      <c r="D256" s="543"/>
      <c r="E256" s="541"/>
      <c r="F256" s="543"/>
      <c r="G256" s="550"/>
      <c r="H256" s="541" t="s">
        <v>593</v>
      </c>
      <c r="I256" s="541" t="s">
        <v>516</v>
      </c>
      <c r="J256" s="593">
        <v>146</v>
      </c>
    </row>
    <row r="257" spans="1:10" ht="13.5">
      <c r="A257" s="543"/>
      <c r="B257" s="579"/>
      <c r="C257" s="541"/>
      <c r="D257" s="543"/>
      <c r="E257" s="541"/>
      <c r="F257" s="543"/>
      <c r="G257" s="550"/>
      <c r="H257" s="541" t="s">
        <v>594</v>
      </c>
      <c r="I257" s="541" t="s">
        <v>516</v>
      </c>
      <c r="J257" s="593">
        <v>49</v>
      </c>
    </row>
    <row r="258" spans="1:10" ht="13.5">
      <c r="A258" s="543"/>
      <c r="B258" s="579"/>
      <c r="C258" s="541"/>
      <c r="D258" s="543"/>
      <c r="E258" s="541"/>
      <c r="F258" s="543"/>
      <c r="G258" s="550"/>
      <c r="H258" s="541" t="s">
        <v>595</v>
      </c>
      <c r="I258" s="541" t="s">
        <v>516</v>
      </c>
      <c r="J258" s="593">
        <v>13</v>
      </c>
    </row>
    <row r="259" spans="1:10" ht="13.5">
      <c r="A259" s="543"/>
      <c r="B259" s="579"/>
      <c r="C259" s="541"/>
      <c r="D259" s="543"/>
      <c r="E259" s="541"/>
      <c r="F259" s="543"/>
      <c r="G259" s="550"/>
      <c r="H259" s="541" t="s">
        <v>596</v>
      </c>
      <c r="I259" s="541" t="s">
        <v>516</v>
      </c>
      <c r="J259" s="593">
        <v>232</v>
      </c>
    </row>
    <row r="260" spans="1:10" ht="13.5">
      <c r="A260" s="543"/>
      <c r="B260" s="579"/>
      <c r="C260" s="541"/>
      <c r="D260" s="543"/>
      <c r="E260" s="541"/>
      <c r="F260" s="543"/>
      <c r="G260" s="550"/>
      <c r="H260" s="541" t="s">
        <v>606</v>
      </c>
      <c r="I260" s="541" t="s">
        <v>516</v>
      </c>
      <c r="J260" s="593">
        <v>146</v>
      </c>
    </row>
    <row r="261" spans="1:10" ht="13.5">
      <c r="A261" s="583"/>
      <c r="B261" s="584"/>
      <c r="C261" s="585">
        <v>132</v>
      </c>
      <c r="D261" s="583"/>
      <c r="E261" s="585"/>
      <c r="F261" s="583"/>
      <c r="G261" s="602" t="s">
        <v>616</v>
      </c>
      <c r="H261" s="603"/>
      <c r="I261" s="603"/>
      <c r="J261" s="586">
        <f>SUM(J251:J260)</f>
        <v>6729</v>
      </c>
    </row>
    <row r="262" spans="1:10" ht="13.5">
      <c r="A262" s="543"/>
      <c r="B262" s="579"/>
      <c r="C262" s="541" t="s">
        <v>541</v>
      </c>
      <c r="D262" s="543"/>
      <c r="E262" s="541" t="s">
        <v>517</v>
      </c>
      <c r="F262" s="543"/>
      <c r="G262" s="550" t="s">
        <v>632</v>
      </c>
      <c r="H262" s="541" t="s">
        <v>630</v>
      </c>
      <c r="I262" s="541" t="s">
        <v>516</v>
      </c>
      <c r="J262" s="593">
        <v>9732</v>
      </c>
    </row>
    <row r="263" spans="1:10" ht="13.5">
      <c r="A263" s="543"/>
      <c r="B263" s="579"/>
      <c r="C263" s="541"/>
      <c r="D263" s="543"/>
      <c r="E263" s="541"/>
      <c r="F263" s="543"/>
      <c r="G263" s="550"/>
      <c r="H263" s="541" t="s">
        <v>597</v>
      </c>
      <c r="I263" s="541" t="s">
        <v>516</v>
      </c>
      <c r="J263" s="593">
        <v>974</v>
      </c>
    </row>
    <row r="264" spans="1:10" ht="13.5">
      <c r="A264" s="543"/>
      <c r="B264" s="579"/>
      <c r="C264" s="541"/>
      <c r="D264" s="543"/>
      <c r="E264" s="541"/>
      <c r="F264" s="543"/>
      <c r="G264" s="550"/>
      <c r="H264" s="541" t="s">
        <v>590</v>
      </c>
      <c r="I264" s="541" t="s">
        <v>516</v>
      </c>
      <c r="J264" s="593">
        <v>137</v>
      </c>
    </row>
    <row r="265" spans="1:10" ht="13.5">
      <c r="A265" s="543"/>
      <c r="B265" s="579"/>
      <c r="C265" s="541"/>
      <c r="D265" s="543"/>
      <c r="E265" s="541"/>
      <c r="F265" s="543"/>
      <c r="G265" s="550"/>
      <c r="H265" s="541" t="s">
        <v>591</v>
      </c>
      <c r="I265" s="541" t="s">
        <v>516</v>
      </c>
      <c r="J265" s="593">
        <v>1363</v>
      </c>
    </row>
    <row r="266" spans="1:10" ht="13.5">
      <c r="A266" s="543"/>
      <c r="B266" s="579"/>
      <c r="C266" s="541"/>
      <c r="D266" s="543"/>
      <c r="E266" s="541"/>
      <c r="F266" s="543"/>
      <c r="G266" s="550"/>
      <c r="H266" s="541" t="s">
        <v>592</v>
      </c>
      <c r="I266" s="541" t="s">
        <v>516</v>
      </c>
      <c r="J266" s="593">
        <v>78</v>
      </c>
    </row>
    <row r="267" spans="1:10" ht="13.5">
      <c r="A267" s="543"/>
      <c r="B267" s="579"/>
      <c r="C267" s="541"/>
      <c r="D267" s="543"/>
      <c r="E267" s="541"/>
      <c r="F267" s="543"/>
      <c r="G267" s="550"/>
      <c r="H267" s="541" t="s">
        <v>593</v>
      </c>
      <c r="I267" s="541" t="s">
        <v>516</v>
      </c>
      <c r="J267" s="593">
        <v>292</v>
      </c>
    </row>
    <row r="268" spans="1:10" ht="13.5">
      <c r="A268" s="543"/>
      <c r="B268" s="579"/>
      <c r="C268" s="541"/>
      <c r="D268" s="543"/>
      <c r="E268" s="541"/>
      <c r="F268" s="543"/>
      <c r="G268" s="550"/>
      <c r="H268" s="541" t="s">
        <v>594</v>
      </c>
      <c r="I268" s="541" t="s">
        <v>516</v>
      </c>
      <c r="J268" s="593">
        <v>98</v>
      </c>
    </row>
    <row r="269" spans="1:10" ht="13.5">
      <c r="A269" s="543"/>
      <c r="B269" s="579"/>
      <c r="C269" s="541"/>
      <c r="D269" s="543"/>
      <c r="E269" s="541"/>
      <c r="F269" s="543"/>
      <c r="G269" s="550"/>
      <c r="H269" s="541" t="s">
        <v>595</v>
      </c>
      <c r="I269" s="541" t="s">
        <v>516</v>
      </c>
      <c r="J269" s="593">
        <v>25</v>
      </c>
    </row>
    <row r="270" spans="1:10" ht="13.5">
      <c r="A270" s="543"/>
      <c r="B270" s="579"/>
      <c r="C270" s="541"/>
      <c r="D270" s="543"/>
      <c r="E270" s="541"/>
      <c r="F270" s="543"/>
      <c r="G270" s="550"/>
      <c r="H270" s="541" t="s">
        <v>596</v>
      </c>
      <c r="I270" s="541" t="s">
        <v>516</v>
      </c>
      <c r="J270" s="593">
        <v>463</v>
      </c>
    </row>
    <row r="271" spans="1:10" ht="13.5">
      <c r="A271" s="543"/>
      <c r="B271" s="579"/>
      <c r="C271" s="541"/>
      <c r="D271" s="543"/>
      <c r="E271" s="541"/>
      <c r="F271" s="543"/>
      <c r="G271" s="550"/>
      <c r="H271" s="541" t="s">
        <v>606</v>
      </c>
      <c r="I271" s="541" t="s">
        <v>516</v>
      </c>
      <c r="J271" s="593">
        <v>292</v>
      </c>
    </row>
    <row r="272" spans="1:10" ht="13.5">
      <c r="A272" s="583"/>
      <c r="B272" s="584"/>
      <c r="C272" s="585" t="s">
        <v>541</v>
      </c>
      <c r="D272" s="583"/>
      <c r="E272" s="585"/>
      <c r="F272" s="583"/>
      <c r="G272" s="602" t="s">
        <v>632</v>
      </c>
      <c r="H272" s="603"/>
      <c r="I272" s="603"/>
      <c r="J272" s="586">
        <f>SUM(J262:J271)</f>
        <v>13454</v>
      </c>
    </row>
    <row r="273" spans="1:10" ht="13.5">
      <c r="A273" s="543"/>
      <c r="B273" s="579"/>
      <c r="C273" s="541" t="s">
        <v>541</v>
      </c>
      <c r="D273" s="543"/>
      <c r="E273" s="541" t="s">
        <v>517</v>
      </c>
      <c r="F273" s="543"/>
      <c r="G273" s="550" t="s">
        <v>633</v>
      </c>
      <c r="H273" s="541" t="s">
        <v>630</v>
      </c>
      <c r="I273" s="541" t="s">
        <v>516</v>
      </c>
      <c r="J273" s="593">
        <v>4866</v>
      </c>
    </row>
    <row r="274" spans="1:10" ht="13.5">
      <c r="A274" s="543"/>
      <c r="B274" s="579"/>
      <c r="C274" s="541"/>
      <c r="D274" s="543"/>
      <c r="E274" s="541"/>
      <c r="F274" s="543"/>
      <c r="G274" s="550"/>
      <c r="H274" s="541" t="s">
        <v>597</v>
      </c>
      <c r="I274" s="541" t="s">
        <v>516</v>
      </c>
      <c r="J274" s="593">
        <v>487</v>
      </c>
    </row>
    <row r="275" spans="1:10" ht="13.5">
      <c r="A275" s="543"/>
      <c r="B275" s="579"/>
      <c r="C275" s="541"/>
      <c r="D275" s="543"/>
      <c r="E275" s="541"/>
      <c r="F275" s="543"/>
      <c r="G275" s="550"/>
      <c r="H275" s="541" t="s">
        <v>590</v>
      </c>
      <c r="I275" s="541" t="s">
        <v>516</v>
      </c>
      <c r="J275" s="593">
        <v>69</v>
      </c>
    </row>
    <row r="276" spans="1:10" ht="13.5">
      <c r="A276" s="543"/>
      <c r="B276" s="579"/>
      <c r="C276" s="541"/>
      <c r="D276" s="543"/>
      <c r="E276" s="541"/>
      <c r="F276" s="543"/>
      <c r="G276" s="550"/>
      <c r="H276" s="541" t="s">
        <v>591</v>
      </c>
      <c r="I276" s="541" t="s">
        <v>516</v>
      </c>
      <c r="J276" s="593">
        <v>682</v>
      </c>
    </row>
    <row r="277" spans="1:10" ht="13.5">
      <c r="A277" s="543"/>
      <c r="B277" s="579"/>
      <c r="C277" s="541"/>
      <c r="D277" s="543"/>
      <c r="E277" s="541"/>
      <c r="F277" s="543"/>
      <c r="G277" s="550"/>
      <c r="H277" s="541" t="s">
        <v>592</v>
      </c>
      <c r="I277" s="541" t="s">
        <v>516</v>
      </c>
      <c r="J277" s="593">
        <v>39</v>
      </c>
    </row>
    <row r="278" spans="1:10" ht="13.5">
      <c r="A278" s="543"/>
      <c r="B278" s="579"/>
      <c r="C278" s="541"/>
      <c r="D278" s="543"/>
      <c r="E278" s="541"/>
      <c r="F278" s="543"/>
      <c r="G278" s="550"/>
      <c r="H278" s="541" t="s">
        <v>593</v>
      </c>
      <c r="I278" s="541" t="s">
        <v>516</v>
      </c>
      <c r="J278" s="593">
        <v>146</v>
      </c>
    </row>
    <row r="279" spans="1:10" ht="13.5">
      <c r="A279" s="543"/>
      <c r="B279" s="579"/>
      <c r="C279" s="541"/>
      <c r="D279" s="543"/>
      <c r="E279" s="541"/>
      <c r="F279" s="543"/>
      <c r="G279" s="550"/>
      <c r="H279" s="541" t="s">
        <v>594</v>
      </c>
      <c r="I279" s="541" t="s">
        <v>516</v>
      </c>
      <c r="J279" s="593">
        <v>49</v>
      </c>
    </row>
    <row r="280" spans="1:10" ht="13.5">
      <c r="A280" s="543"/>
      <c r="B280" s="579"/>
      <c r="C280" s="541"/>
      <c r="D280" s="543"/>
      <c r="E280" s="541"/>
      <c r="F280" s="543"/>
      <c r="G280" s="550"/>
      <c r="H280" s="541" t="s">
        <v>595</v>
      </c>
      <c r="I280" s="541" t="s">
        <v>516</v>
      </c>
      <c r="J280" s="593">
        <v>13</v>
      </c>
    </row>
    <row r="281" spans="1:10" ht="13.5">
      <c r="A281" s="543"/>
      <c r="B281" s="579"/>
      <c r="C281" s="541"/>
      <c r="D281" s="543"/>
      <c r="E281" s="541"/>
      <c r="F281" s="543"/>
      <c r="G281" s="550"/>
      <c r="H281" s="541" t="s">
        <v>596</v>
      </c>
      <c r="I281" s="541" t="s">
        <v>516</v>
      </c>
      <c r="J281" s="593">
        <v>232</v>
      </c>
    </row>
    <row r="282" spans="1:10" ht="13.5">
      <c r="A282" s="543"/>
      <c r="B282" s="579"/>
      <c r="C282" s="541"/>
      <c r="D282" s="543"/>
      <c r="E282" s="541"/>
      <c r="F282" s="543"/>
      <c r="G282" s="550"/>
      <c r="H282" s="541" t="s">
        <v>606</v>
      </c>
      <c r="I282" s="541" t="s">
        <v>516</v>
      </c>
      <c r="J282" s="593">
        <v>146</v>
      </c>
    </row>
    <row r="283" spans="1:10" ht="13.5">
      <c r="A283" s="583"/>
      <c r="B283" s="584"/>
      <c r="C283" s="585" t="s">
        <v>541</v>
      </c>
      <c r="D283" s="583"/>
      <c r="E283" s="585"/>
      <c r="F283" s="583"/>
      <c r="G283" s="602" t="s">
        <v>633</v>
      </c>
      <c r="H283" s="585"/>
      <c r="I283" s="585"/>
      <c r="J283" s="586">
        <f>SUM(J273:J282)</f>
        <v>6729</v>
      </c>
    </row>
    <row r="284" spans="1:10" ht="13.5">
      <c r="A284" s="543"/>
      <c r="B284" s="579"/>
      <c r="C284" s="541" t="s">
        <v>541</v>
      </c>
      <c r="D284" s="543"/>
      <c r="E284" s="541" t="s">
        <v>517</v>
      </c>
      <c r="F284" s="543"/>
      <c r="G284" s="550" t="s">
        <v>615</v>
      </c>
      <c r="H284" s="541" t="s">
        <v>630</v>
      </c>
      <c r="I284" s="541" t="s">
        <v>516</v>
      </c>
      <c r="J284" s="593">
        <v>4866</v>
      </c>
    </row>
    <row r="285" spans="1:10" ht="13.5">
      <c r="A285" s="543"/>
      <c r="B285" s="579"/>
      <c r="C285" s="541"/>
      <c r="D285" s="543"/>
      <c r="E285" s="541"/>
      <c r="F285" s="543"/>
      <c r="G285" s="550"/>
      <c r="H285" s="541" t="s">
        <v>597</v>
      </c>
      <c r="I285" s="541" t="s">
        <v>516</v>
      </c>
      <c r="J285" s="593">
        <v>487</v>
      </c>
    </row>
    <row r="286" spans="1:10" ht="13.5">
      <c r="A286" s="543"/>
      <c r="B286" s="579"/>
      <c r="C286" s="541"/>
      <c r="D286" s="543"/>
      <c r="E286" s="541"/>
      <c r="F286" s="543"/>
      <c r="G286" s="550"/>
      <c r="H286" s="541" t="s">
        <v>590</v>
      </c>
      <c r="I286" s="541" t="s">
        <v>516</v>
      </c>
      <c r="J286" s="593">
        <v>69</v>
      </c>
    </row>
    <row r="287" spans="1:10" ht="13.5">
      <c r="A287" s="543"/>
      <c r="B287" s="579"/>
      <c r="C287" s="541"/>
      <c r="D287" s="543"/>
      <c r="E287" s="541"/>
      <c r="F287" s="543"/>
      <c r="G287" s="550"/>
      <c r="H287" s="541" t="s">
        <v>591</v>
      </c>
      <c r="I287" s="541" t="s">
        <v>516</v>
      </c>
      <c r="J287" s="593">
        <v>682</v>
      </c>
    </row>
    <row r="288" spans="1:10" ht="13.5">
      <c r="A288" s="543"/>
      <c r="B288" s="579"/>
      <c r="C288" s="541"/>
      <c r="D288" s="543"/>
      <c r="E288" s="541"/>
      <c r="F288" s="543"/>
      <c r="G288" s="550"/>
      <c r="H288" s="541" t="s">
        <v>592</v>
      </c>
      <c r="I288" s="541" t="s">
        <v>516</v>
      </c>
      <c r="J288" s="593">
        <v>39</v>
      </c>
    </row>
    <row r="289" spans="1:10" ht="13.5">
      <c r="A289" s="543"/>
      <c r="B289" s="579"/>
      <c r="C289" s="541"/>
      <c r="D289" s="543"/>
      <c r="E289" s="541"/>
      <c r="F289" s="543"/>
      <c r="G289" s="550"/>
      <c r="H289" s="541" t="s">
        <v>593</v>
      </c>
      <c r="I289" s="541" t="s">
        <v>516</v>
      </c>
      <c r="J289" s="593">
        <v>146</v>
      </c>
    </row>
    <row r="290" spans="1:10" ht="13.5">
      <c r="A290" s="543"/>
      <c r="B290" s="579"/>
      <c r="C290" s="541"/>
      <c r="D290" s="543"/>
      <c r="E290" s="541"/>
      <c r="F290" s="543"/>
      <c r="G290" s="550"/>
      <c r="H290" s="541" t="s">
        <v>594</v>
      </c>
      <c r="I290" s="541" t="s">
        <v>516</v>
      </c>
      <c r="J290" s="593">
        <v>49</v>
      </c>
    </row>
    <row r="291" spans="1:10" ht="13.5">
      <c r="A291" s="543"/>
      <c r="B291" s="579"/>
      <c r="C291" s="541"/>
      <c r="D291" s="543"/>
      <c r="E291" s="541"/>
      <c r="F291" s="543"/>
      <c r="G291" s="550"/>
      <c r="H291" s="541" t="s">
        <v>595</v>
      </c>
      <c r="I291" s="541" t="s">
        <v>516</v>
      </c>
      <c r="J291" s="593">
        <v>13</v>
      </c>
    </row>
    <row r="292" spans="1:10" ht="13.5">
      <c r="A292" s="543"/>
      <c r="B292" s="579"/>
      <c r="C292" s="541"/>
      <c r="D292" s="543"/>
      <c r="E292" s="541"/>
      <c r="F292" s="543"/>
      <c r="G292" s="550"/>
      <c r="H292" s="541" t="s">
        <v>596</v>
      </c>
      <c r="I292" s="541" t="s">
        <v>516</v>
      </c>
      <c r="J292" s="593">
        <v>232</v>
      </c>
    </row>
    <row r="293" spans="1:10" ht="13.5">
      <c r="A293" s="543"/>
      <c r="B293" s="579"/>
      <c r="C293" s="541"/>
      <c r="D293" s="543"/>
      <c r="E293" s="541"/>
      <c r="F293" s="543"/>
      <c r="G293" s="550"/>
      <c r="H293" s="541" t="s">
        <v>606</v>
      </c>
      <c r="I293" s="541" t="s">
        <v>516</v>
      </c>
      <c r="J293" s="593">
        <v>146</v>
      </c>
    </row>
    <row r="294" spans="1:10" ht="13.5">
      <c r="A294" s="583"/>
      <c r="B294" s="584"/>
      <c r="C294" s="585" t="s">
        <v>541</v>
      </c>
      <c r="D294" s="583"/>
      <c r="E294" s="585"/>
      <c r="F294" s="583"/>
      <c r="G294" s="602" t="s">
        <v>615</v>
      </c>
      <c r="H294" s="585"/>
      <c r="I294" s="585"/>
      <c r="J294" s="586">
        <f>SUM(J284:J293)</f>
        <v>6729</v>
      </c>
    </row>
    <row r="295" spans="1:10" ht="13.5">
      <c r="A295" s="543"/>
      <c r="B295" s="579"/>
      <c r="C295" s="541" t="s">
        <v>541</v>
      </c>
      <c r="D295" s="543"/>
      <c r="E295" s="541" t="s">
        <v>517</v>
      </c>
      <c r="F295" s="543"/>
      <c r="G295" s="541">
        <v>110</v>
      </c>
      <c r="H295" s="541" t="s">
        <v>630</v>
      </c>
      <c r="I295" s="541" t="s">
        <v>516</v>
      </c>
      <c r="J295" s="593">
        <v>19464</v>
      </c>
    </row>
    <row r="296" spans="1:10" ht="13.5">
      <c r="A296" s="543"/>
      <c r="B296" s="579"/>
      <c r="C296" s="541"/>
      <c r="D296" s="543"/>
      <c r="E296" s="541"/>
      <c r="F296" s="543"/>
      <c r="G296" s="541"/>
      <c r="H296" s="541" t="s">
        <v>597</v>
      </c>
      <c r="I296" s="541" t="s">
        <v>516</v>
      </c>
      <c r="J296" s="593">
        <v>1947</v>
      </c>
    </row>
    <row r="297" spans="1:10" ht="13.5">
      <c r="A297" s="543"/>
      <c r="B297" s="579"/>
      <c r="C297" s="541"/>
      <c r="D297" s="543"/>
      <c r="E297" s="541"/>
      <c r="F297" s="543"/>
      <c r="G297" s="541"/>
      <c r="H297" s="541" t="s">
        <v>590</v>
      </c>
      <c r="I297" s="541" t="s">
        <v>516</v>
      </c>
      <c r="J297" s="593">
        <v>273</v>
      </c>
    </row>
    <row r="298" spans="1:10" ht="13.5">
      <c r="A298" s="543"/>
      <c r="B298" s="579"/>
      <c r="C298" s="541"/>
      <c r="D298" s="543"/>
      <c r="E298" s="541"/>
      <c r="F298" s="543"/>
      <c r="G298" s="541"/>
      <c r="H298" s="541" t="s">
        <v>591</v>
      </c>
      <c r="I298" s="541" t="s">
        <v>516</v>
      </c>
      <c r="J298" s="593">
        <v>2725</v>
      </c>
    </row>
    <row r="299" spans="1:10" ht="13.5">
      <c r="A299" s="543"/>
      <c r="B299" s="579"/>
      <c r="C299" s="541"/>
      <c r="D299" s="543"/>
      <c r="E299" s="541"/>
      <c r="F299" s="543"/>
      <c r="G299" s="541"/>
      <c r="H299" s="541" t="s">
        <v>592</v>
      </c>
      <c r="I299" s="541" t="s">
        <v>516</v>
      </c>
      <c r="J299" s="593">
        <v>156</v>
      </c>
    </row>
    <row r="300" spans="1:10" ht="13.5">
      <c r="A300" s="543"/>
      <c r="B300" s="579"/>
      <c r="C300" s="541"/>
      <c r="D300" s="543"/>
      <c r="E300" s="541"/>
      <c r="F300" s="543"/>
      <c r="G300" s="541"/>
      <c r="H300" s="541" t="s">
        <v>593</v>
      </c>
      <c r="I300" s="541" t="s">
        <v>516</v>
      </c>
      <c r="J300" s="593">
        <v>584</v>
      </c>
    </row>
    <row r="301" spans="1:10" ht="13.5">
      <c r="A301" s="543"/>
      <c r="B301" s="579"/>
      <c r="C301" s="541"/>
      <c r="D301" s="543"/>
      <c r="E301" s="541"/>
      <c r="F301" s="543"/>
      <c r="G301" s="541"/>
      <c r="H301" s="541" t="s">
        <v>594</v>
      </c>
      <c r="I301" s="541" t="s">
        <v>516</v>
      </c>
      <c r="J301" s="593">
        <v>195</v>
      </c>
    </row>
    <row r="302" spans="1:10" ht="13.5">
      <c r="A302" s="543"/>
      <c r="B302" s="579"/>
      <c r="C302" s="541"/>
      <c r="D302" s="543"/>
      <c r="E302" s="541"/>
      <c r="F302" s="543"/>
      <c r="G302" s="541"/>
      <c r="H302" s="541" t="s">
        <v>595</v>
      </c>
      <c r="I302" s="541" t="s">
        <v>516</v>
      </c>
      <c r="J302" s="593">
        <v>49</v>
      </c>
    </row>
    <row r="303" spans="1:10" ht="13.5">
      <c r="A303" s="543"/>
      <c r="B303" s="579"/>
      <c r="C303" s="541"/>
      <c r="D303" s="543"/>
      <c r="E303" s="541"/>
      <c r="F303" s="543"/>
      <c r="G303" s="541"/>
      <c r="H303" s="541" t="s">
        <v>596</v>
      </c>
      <c r="I303" s="541" t="s">
        <v>516</v>
      </c>
      <c r="J303" s="593">
        <v>925</v>
      </c>
    </row>
    <row r="304" spans="1:10" ht="13.5">
      <c r="A304" s="543"/>
      <c r="B304" s="579"/>
      <c r="C304" s="541"/>
      <c r="D304" s="543"/>
      <c r="E304" s="541"/>
      <c r="F304" s="543"/>
      <c r="G304" s="541"/>
      <c r="H304" s="541" t="s">
        <v>606</v>
      </c>
      <c r="I304" s="541" t="s">
        <v>516</v>
      </c>
      <c r="J304" s="593">
        <v>584</v>
      </c>
    </row>
    <row r="305" spans="1:10" ht="13.5">
      <c r="A305" s="583"/>
      <c r="B305" s="584"/>
      <c r="C305" s="585" t="s">
        <v>541</v>
      </c>
      <c r="D305" s="583"/>
      <c r="E305" s="585"/>
      <c r="F305" s="583"/>
      <c r="G305" s="585">
        <v>110</v>
      </c>
      <c r="H305" s="585"/>
      <c r="I305" s="585"/>
      <c r="J305" s="586">
        <f>SUM(J295:J304)</f>
        <v>26902</v>
      </c>
    </row>
    <row r="306" spans="1:10" ht="13.5">
      <c r="A306" s="543"/>
      <c r="B306" s="579"/>
      <c r="C306" s="541" t="s">
        <v>541</v>
      </c>
      <c r="D306" s="543"/>
      <c r="E306" s="541" t="s">
        <v>517</v>
      </c>
      <c r="F306" s="543"/>
      <c r="G306" s="541">
        <v>120</v>
      </c>
      <c r="H306" s="541" t="s">
        <v>630</v>
      </c>
      <c r="I306" s="541" t="s">
        <v>516</v>
      </c>
      <c r="J306" s="593">
        <v>9732</v>
      </c>
    </row>
    <row r="307" spans="1:10" ht="13.5">
      <c r="A307" s="543"/>
      <c r="B307" s="579"/>
      <c r="C307" s="541"/>
      <c r="D307" s="543"/>
      <c r="E307" s="541"/>
      <c r="F307" s="543"/>
      <c r="G307" s="541"/>
      <c r="H307" s="541" t="s">
        <v>597</v>
      </c>
      <c r="I307" s="541" t="s">
        <v>516</v>
      </c>
      <c r="J307" s="593">
        <v>974</v>
      </c>
    </row>
    <row r="308" spans="1:10" ht="13.5">
      <c r="A308" s="543"/>
      <c r="B308" s="579"/>
      <c r="C308" s="541"/>
      <c r="D308" s="543"/>
      <c r="E308" s="541"/>
      <c r="F308" s="543"/>
      <c r="G308" s="541"/>
      <c r="H308" s="541" t="s">
        <v>590</v>
      </c>
      <c r="I308" s="541" t="s">
        <v>516</v>
      </c>
      <c r="J308" s="593">
        <v>137</v>
      </c>
    </row>
    <row r="309" spans="1:10" ht="13.5">
      <c r="A309" s="543"/>
      <c r="B309" s="579"/>
      <c r="C309" s="541"/>
      <c r="D309" s="543"/>
      <c r="E309" s="541"/>
      <c r="F309" s="543"/>
      <c r="G309" s="541"/>
      <c r="H309" s="541" t="s">
        <v>591</v>
      </c>
      <c r="I309" s="541" t="s">
        <v>516</v>
      </c>
      <c r="J309" s="593">
        <v>1363</v>
      </c>
    </row>
    <row r="310" spans="1:10" ht="13.5">
      <c r="A310" s="543"/>
      <c r="B310" s="579"/>
      <c r="C310" s="541"/>
      <c r="D310" s="543"/>
      <c r="E310" s="541"/>
      <c r="F310" s="543"/>
      <c r="G310" s="541"/>
      <c r="H310" s="541" t="s">
        <v>592</v>
      </c>
      <c r="I310" s="541" t="s">
        <v>516</v>
      </c>
      <c r="J310" s="593">
        <v>78</v>
      </c>
    </row>
    <row r="311" spans="1:10" ht="13.5">
      <c r="A311" s="543"/>
      <c r="B311" s="579"/>
      <c r="C311" s="541"/>
      <c r="D311" s="543"/>
      <c r="E311" s="541"/>
      <c r="F311" s="543"/>
      <c r="G311" s="541"/>
      <c r="H311" s="541" t="s">
        <v>593</v>
      </c>
      <c r="I311" s="541" t="s">
        <v>516</v>
      </c>
      <c r="J311" s="593">
        <v>292</v>
      </c>
    </row>
    <row r="312" spans="1:10" ht="13.5">
      <c r="A312" s="543"/>
      <c r="B312" s="579"/>
      <c r="C312" s="541"/>
      <c r="D312" s="543"/>
      <c r="E312" s="541"/>
      <c r="F312" s="543"/>
      <c r="G312" s="541"/>
      <c r="H312" s="541" t="s">
        <v>594</v>
      </c>
      <c r="I312" s="541" t="s">
        <v>516</v>
      </c>
      <c r="J312" s="593">
        <v>98</v>
      </c>
    </row>
    <row r="313" spans="1:10" ht="13.5">
      <c r="A313" s="543"/>
      <c r="B313" s="579"/>
      <c r="C313" s="541"/>
      <c r="D313" s="543"/>
      <c r="E313" s="541"/>
      <c r="F313" s="543"/>
      <c r="G313" s="541"/>
      <c r="H313" s="541" t="s">
        <v>595</v>
      </c>
      <c r="I313" s="541" t="s">
        <v>516</v>
      </c>
      <c r="J313" s="593">
        <v>25</v>
      </c>
    </row>
    <row r="314" spans="1:10" ht="13.5">
      <c r="A314" s="543"/>
      <c r="B314" s="579"/>
      <c r="C314" s="541"/>
      <c r="D314" s="543"/>
      <c r="E314" s="541"/>
      <c r="F314" s="543"/>
      <c r="G314" s="541"/>
      <c r="H314" s="541" t="s">
        <v>596</v>
      </c>
      <c r="I314" s="541" t="s">
        <v>516</v>
      </c>
      <c r="J314" s="593">
        <v>463</v>
      </c>
    </row>
    <row r="315" spans="1:10" ht="13.5">
      <c r="A315" s="543"/>
      <c r="B315" s="579"/>
      <c r="C315" s="541"/>
      <c r="D315" s="543"/>
      <c r="E315" s="541"/>
      <c r="F315" s="543"/>
      <c r="G315" s="541"/>
      <c r="H315" s="541" t="s">
        <v>606</v>
      </c>
      <c r="I315" s="541" t="s">
        <v>516</v>
      </c>
      <c r="J315" s="593">
        <v>292</v>
      </c>
    </row>
    <row r="316" spans="1:10" ht="13.5">
      <c r="A316" s="583"/>
      <c r="B316" s="584"/>
      <c r="C316" s="585" t="s">
        <v>541</v>
      </c>
      <c r="D316" s="583"/>
      <c r="E316" s="585"/>
      <c r="F316" s="583"/>
      <c r="G316" s="585">
        <v>120</v>
      </c>
      <c r="H316" s="585"/>
      <c r="I316" s="585"/>
      <c r="J316" s="586">
        <f>SUM(J306:J315)</f>
        <v>13454</v>
      </c>
    </row>
    <row r="317" spans="1:10" ht="13.5">
      <c r="A317" s="543"/>
      <c r="B317" s="579"/>
      <c r="C317" s="541" t="s">
        <v>541</v>
      </c>
      <c r="D317" s="543"/>
      <c r="E317" s="541" t="s">
        <v>517</v>
      </c>
      <c r="F317" s="543"/>
      <c r="G317" s="541">
        <v>140</v>
      </c>
      <c r="H317" s="541" t="s">
        <v>630</v>
      </c>
      <c r="I317" s="541" t="s">
        <v>516</v>
      </c>
      <c r="J317" s="593">
        <v>9732</v>
      </c>
    </row>
    <row r="318" spans="1:10" ht="13.5">
      <c r="A318" s="543"/>
      <c r="B318" s="579"/>
      <c r="C318" s="541"/>
      <c r="D318" s="543"/>
      <c r="E318" s="541"/>
      <c r="F318" s="543"/>
      <c r="G318" s="541"/>
      <c r="H318" s="541" t="s">
        <v>597</v>
      </c>
      <c r="I318" s="541" t="s">
        <v>516</v>
      </c>
      <c r="J318" s="593">
        <v>974</v>
      </c>
    </row>
    <row r="319" spans="1:10" ht="13.5">
      <c r="A319" s="543"/>
      <c r="B319" s="579"/>
      <c r="C319" s="541"/>
      <c r="D319" s="543"/>
      <c r="E319" s="541"/>
      <c r="F319" s="543"/>
      <c r="G319" s="541"/>
      <c r="H319" s="541" t="s">
        <v>590</v>
      </c>
      <c r="I319" s="541" t="s">
        <v>516</v>
      </c>
      <c r="J319" s="593">
        <v>137</v>
      </c>
    </row>
    <row r="320" spans="1:10" ht="13.5">
      <c r="A320" s="543"/>
      <c r="B320" s="579"/>
      <c r="C320" s="541"/>
      <c r="D320" s="543"/>
      <c r="E320" s="541"/>
      <c r="F320" s="543"/>
      <c r="G320" s="541"/>
      <c r="H320" s="541" t="s">
        <v>591</v>
      </c>
      <c r="I320" s="541" t="s">
        <v>516</v>
      </c>
      <c r="J320" s="593">
        <v>1363</v>
      </c>
    </row>
    <row r="321" spans="1:10" ht="13.5">
      <c r="A321" s="543"/>
      <c r="B321" s="579"/>
      <c r="C321" s="541"/>
      <c r="D321" s="543"/>
      <c r="E321" s="541"/>
      <c r="F321" s="543"/>
      <c r="G321" s="541"/>
      <c r="H321" s="541" t="s">
        <v>592</v>
      </c>
      <c r="I321" s="541" t="s">
        <v>516</v>
      </c>
      <c r="J321" s="593">
        <v>78</v>
      </c>
    </row>
    <row r="322" spans="1:10" ht="13.5">
      <c r="A322" s="543"/>
      <c r="B322" s="579"/>
      <c r="C322" s="541"/>
      <c r="D322" s="543"/>
      <c r="E322" s="541"/>
      <c r="F322" s="543"/>
      <c r="G322" s="541"/>
      <c r="H322" s="541" t="s">
        <v>593</v>
      </c>
      <c r="I322" s="541" t="s">
        <v>516</v>
      </c>
      <c r="J322" s="593">
        <v>292</v>
      </c>
    </row>
    <row r="323" spans="1:10" ht="13.5">
      <c r="A323" s="543"/>
      <c r="B323" s="579"/>
      <c r="C323" s="541"/>
      <c r="D323" s="543"/>
      <c r="E323" s="541"/>
      <c r="F323" s="543"/>
      <c r="G323" s="541"/>
      <c r="H323" s="541" t="s">
        <v>594</v>
      </c>
      <c r="I323" s="541" t="s">
        <v>516</v>
      </c>
      <c r="J323" s="593">
        <v>98</v>
      </c>
    </row>
    <row r="324" spans="1:10" ht="13.5">
      <c r="A324" s="543"/>
      <c r="B324" s="579"/>
      <c r="C324" s="541"/>
      <c r="D324" s="543"/>
      <c r="E324" s="541"/>
      <c r="F324" s="543"/>
      <c r="G324" s="541"/>
      <c r="H324" s="541" t="s">
        <v>595</v>
      </c>
      <c r="I324" s="541" t="s">
        <v>516</v>
      </c>
      <c r="J324" s="593">
        <v>25</v>
      </c>
    </row>
    <row r="325" spans="1:10" ht="13.5">
      <c r="A325" s="543"/>
      <c r="B325" s="579"/>
      <c r="C325" s="541"/>
      <c r="D325" s="543"/>
      <c r="E325" s="541"/>
      <c r="F325" s="543"/>
      <c r="G325" s="541"/>
      <c r="H325" s="541" t="s">
        <v>596</v>
      </c>
      <c r="I325" s="541" t="s">
        <v>516</v>
      </c>
      <c r="J325" s="593">
        <v>463</v>
      </c>
    </row>
    <row r="326" spans="1:10" ht="13.5">
      <c r="A326" s="543"/>
      <c r="B326" s="579"/>
      <c r="C326" s="541"/>
      <c r="D326" s="543"/>
      <c r="E326" s="541"/>
      <c r="F326" s="543"/>
      <c r="G326" s="541"/>
      <c r="H326" s="541" t="s">
        <v>606</v>
      </c>
      <c r="I326" s="541" t="s">
        <v>516</v>
      </c>
      <c r="J326" s="593">
        <v>292</v>
      </c>
    </row>
    <row r="327" spans="1:10" ht="13.5">
      <c r="A327" s="583"/>
      <c r="B327" s="584"/>
      <c r="C327" s="585" t="s">
        <v>541</v>
      </c>
      <c r="D327" s="583"/>
      <c r="E327" s="585"/>
      <c r="F327" s="583"/>
      <c r="G327" s="585">
        <v>140</v>
      </c>
      <c r="H327" s="585"/>
      <c r="I327" s="585"/>
      <c r="J327" s="586">
        <f>SUM(J317:J326)</f>
        <v>13454</v>
      </c>
    </row>
    <row r="328" spans="1:10" ht="13.5">
      <c r="A328" s="543"/>
      <c r="B328" s="579"/>
      <c r="C328" s="541" t="s">
        <v>541</v>
      </c>
      <c r="D328" s="543"/>
      <c r="E328" s="541" t="s">
        <v>517</v>
      </c>
      <c r="F328" s="543"/>
      <c r="G328" s="541">
        <v>150</v>
      </c>
      <c r="H328" s="541" t="s">
        <v>630</v>
      </c>
      <c r="I328" s="541" t="s">
        <v>516</v>
      </c>
      <c r="J328" s="593">
        <v>14598</v>
      </c>
    </row>
    <row r="329" spans="1:10" ht="13.5">
      <c r="A329" s="543"/>
      <c r="B329" s="579"/>
      <c r="C329" s="541"/>
      <c r="D329" s="543"/>
      <c r="E329" s="541"/>
      <c r="F329" s="543"/>
      <c r="G329" s="541"/>
      <c r="H329" s="541" t="s">
        <v>597</v>
      </c>
      <c r="I329" s="541" t="s">
        <v>516</v>
      </c>
      <c r="J329" s="593">
        <v>1460</v>
      </c>
    </row>
    <row r="330" spans="1:10" ht="13.5">
      <c r="A330" s="543"/>
      <c r="B330" s="579"/>
      <c r="C330" s="541"/>
      <c r="D330" s="543"/>
      <c r="E330" s="541"/>
      <c r="F330" s="543"/>
      <c r="G330" s="541"/>
      <c r="H330" s="541" t="s">
        <v>590</v>
      </c>
      <c r="I330" s="541" t="s">
        <v>516</v>
      </c>
      <c r="J330" s="593">
        <v>205</v>
      </c>
    </row>
    <row r="331" spans="1:10" ht="13.5">
      <c r="A331" s="543"/>
      <c r="B331" s="579"/>
      <c r="C331" s="541"/>
      <c r="D331" s="543"/>
      <c r="E331" s="541"/>
      <c r="F331" s="543"/>
      <c r="G331" s="541"/>
      <c r="H331" s="541" t="s">
        <v>591</v>
      </c>
      <c r="I331" s="541" t="s">
        <v>516</v>
      </c>
      <c r="J331" s="593">
        <v>2044</v>
      </c>
    </row>
    <row r="332" spans="1:10" ht="13.5">
      <c r="A332" s="543"/>
      <c r="B332" s="579"/>
      <c r="C332" s="541"/>
      <c r="D332" s="543"/>
      <c r="E332" s="541"/>
      <c r="F332" s="543"/>
      <c r="G332" s="541"/>
      <c r="H332" s="541" t="s">
        <v>592</v>
      </c>
      <c r="I332" s="541" t="s">
        <v>516</v>
      </c>
      <c r="J332" s="593">
        <v>117</v>
      </c>
    </row>
    <row r="333" spans="1:10" ht="13.5">
      <c r="A333" s="543"/>
      <c r="B333" s="579"/>
      <c r="C333" s="541"/>
      <c r="D333" s="543"/>
      <c r="E333" s="541"/>
      <c r="F333" s="543"/>
      <c r="G333" s="541"/>
      <c r="H333" s="541" t="s">
        <v>593</v>
      </c>
      <c r="I333" s="541" t="s">
        <v>516</v>
      </c>
      <c r="J333" s="593">
        <v>438</v>
      </c>
    </row>
    <row r="334" spans="1:10" ht="13.5">
      <c r="A334" s="543"/>
      <c r="B334" s="579"/>
      <c r="C334" s="541"/>
      <c r="D334" s="543"/>
      <c r="E334" s="541"/>
      <c r="F334" s="543"/>
      <c r="G334" s="541"/>
      <c r="H334" s="541" t="s">
        <v>594</v>
      </c>
      <c r="I334" s="541" t="s">
        <v>516</v>
      </c>
      <c r="J334" s="593">
        <v>146</v>
      </c>
    </row>
    <row r="335" spans="1:10" ht="13.5">
      <c r="A335" s="543"/>
      <c r="B335" s="579"/>
      <c r="C335" s="541"/>
      <c r="D335" s="543"/>
      <c r="E335" s="541"/>
      <c r="F335" s="543"/>
      <c r="G335" s="541"/>
      <c r="H335" s="541" t="s">
        <v>595</v>
      </c>
      <c r="I335" s="541" t="s">
        <v>516</v>
      </c>
      <c r="J335" s="593">
        <v>37</v>
      </c>
    </row>
    <row r="336" spans="1:10" ht="13.5">
      <c r="A336" s="543"/>
      <c r="B336" s="579"/>
      <c r="C336" s="541"/>
      <c r="D336" s="543"/>
      <c r="E336" s="541"/>
      <c r="F336" s="543"/>
      <c r="G336" s="541"/>
      <c r="H336" s="541" t="s">
        <v>596</v>
      </c>
      <c r="I336" s="541" t="s">
        <v>516</v>
      </c>
      <c r="J336" s="593">
        <v>694</v>
      </c>
    </row>
    <row r="337" spans="1:10" ht="13.5">
      <c r="A337" s="543"/>
      <c r="B337" s="579"/>
      <c r="C337" s="541"/>
      <c r="D337" s="543"/>
      <c r="E337" s="541"/>
      <c r="F337" s="543"/>
      <c r="G337" s="541"/>
      <c r="H337" s="541" t="s">
        <v>606</v>
      </c>
      <c r="I337" s="541" t="s">
        <v>516</v>
      </c>
      <c r="J337" s="593">
        <v>438</v>
      </c>
    </row>
    <row r="338" spans="1:10" ht="13.5">
      <c r="A338" s="583"/>
      <c r="B338" s="584"/>
      <c r="C338" s="585" t="s">
        <v>541</v>
      </c>
      <c r="D338" s="583"/>
      <c r="E338" s="585"/>
      <c r="F338" s="583"/>
      <c r="G338" s="585">
        <v>150</v>
      </c>
      <c r="H338" s="585"/>
      <c r="I338" s="585"/>
      <c r="J338" s="586">
        <f>SUM(J328:J337)</f>
        <v>20177</v>
      </c>
    </row>
    <row r="339" spans="1:10" ht="13.5">
      <c r="A339" s="543"/>
      <c r="B339" s="579"/>
      <c r="C339" s="541" t="s">
        <v>541</v>
      </c>
      <c r="D339" s="543"/>
      <c r="E339" s="541" t="s">
        <v>517</v>
      </c>
      <c r="F339" s="543"/>
      <c r="G339" s="541">
        <v>160</v>
      </c>
      <c r="H339" s="541" t="s">
        <v>630</v>
      </c>
      <c r="I339" s="541" t="s">
        <v>516</v>
      </c>
      <c r="J339" s="593">
        <v>19464</v>
      </c>
    </row>
    <row r="340" spans="1:10" ht="13.5">
      <c r="A340" s="543"/>
      <c r="B340" s="579"/>
      <c r="C340" s="541"/>
      <c r="D340" s="543"/>
      <c r="E340" s="541"/>
      <c r="F340" s="543"/>
      <c r="G340" s="541"/>
      <c r="H340" s="541" t="s">
        <v>597</v>
      </c>
      <c r="I340" s="541" t="s">
        <v>516</v>
      </c>
      <c r="J340" s="593">
        <v>1947</v>
      </c>
    </row>
    <row r="341" spans="1:10" ht="13.5">
      <c r="A341" s="543"/>
      <c r="B341" s="579"/>
      <c r="C341" s="541"/>
      <c r="D341" s="543"/>
      <c r="E341" s="541"/>
      <c r="F341" s="543"/>
      <c r="G341" s="541"/>
      <c r="H341" s="541" t="s">
        <v>590</v>
      </c>
      <c r="I341" s="541" t="s">
        <v>516</v>
      </c>
      <c r="J341" s="593">
        <v>273</v>
      </c>
    </row>
    <row r="342" spans="1:10" ht="13.5">
      <c r="A342" s="543"/>
      <c r="B342" s="579"/>
      <c r="C342" s="541"/>
      <c r="D342" s="543"/>
      <c r="E342" s="541"/>
      <c r="F342" s="543"/>
      <c r="G342" s="541"/>
      <c r="H342" s="541" t="s">
        <v>591</v>
      </c>
      <c r="I342" s="541" t="s">
        <v>516</v>
      </c>
      <c r="J342" s="593">
        <v>2725</v>
      </c>
    </row>
    <row r="343" spans="1:10" ht="13.5">
      <c r="A343" s="543"/>
      <c r="B343" s="579"/>
      <c r="C343" s="541"/>
      <c r="D343" s="543"/>
      <c r="E343" s="541"/>
      <c r="F343" s="543"/>
      <c r="G343" s="541"/>
      <c r="H343" s="541" t="s">
        <v>592</v>
      </c>
      <c r="I343" s="541" t="s">
        <v>516</v>
      </c>
      <c r="J343" s="593">
        <v>156</v>
      </c>
    </row>
    <row r="344" spans="1:10" ht="13.5">
      <c r="A344" s="543"/>
      <c r="B344" s="579"/>
      <c r="C344" s="541"/>
      <c r="D344" s="543"/>
      <c r="E344" s="541"/>
      <c r="F344" s="543"/>
      <c r="G344" s="541"/>
      <c r="H344" s="541" t="s">
        <v>593</v>
      </c>
      <c r="I344" s="541" t="s">
        <v>516</v>
      </c>
      <c r="J344" s="593">
        <v>584</v>
      </c>
    </row>
    <row r="345" spans="1:10" ht="13.5">
      <c r="A345" s="543"/>
      <c r="B345" s="579"/>
      <c r="C345" s="541"/>
      <c r="D345" s="543"/>
      <c r="E345" s="541"/>
      <c r="F345" s="543"/>
      <c r="G345" s="541"/>
      <c r="H345" s="541" t="s">
        <v>594</v>
      </c>
      <c r="I345" s="541" t="s">
        <v>516</v>
      </c>
      <c r="J345" s="593">
        <v>195</v>
      </c>
    </row>
    <row r="346" spans="1:10" ht="13.5">
      <c r="A346" s="543"/>
      <c r="B346" s="579"/>
      <c r="C346" s="541"/>
      <c r="D346" s="543"/>
      <c r="E346" s="541"/>
      <c r="F346" s="543"/>
      <c r="G346" s="541"/>
      <c r="H346" s="541" t="s">
        <v>595</v>
      </c>
      <c r="I346" s="541" t="s">
        <v>516</v>
      </c>
      <c r="J346" s="593">
        <v>49</v>
      </c>
    </row>
    <row r="347" spans="1:10" ht="13.5">
      <c r="A347" s="543"/>
      <c r="B347" s="579"/>
      <c r="C347" s="541"/>
      <c r="D347" s="543"/>
      <c r="E347" s="541"/>
      <c r="F347" s="543"/>
      <c r="G347" s="541"/>
      <c r="H347" s="541" t="s">
        <v>596</v>
      </c>
      <c r="I347" s="541" t="s">
        <v>516</v>
      </c>
      <c r="J347" s="593">
        <v>925</v>
      </c>
    </row>
    <row r="348" spans="1:10" ht="13.5">
      <c r="A348" s="543"/>
      <c r="B348" s="579"/>
      <c r="C348" s="541"/>
      <c r="D348" s="543"/>
      <c r="E348" s="541"/>
      <c r="F348" s="543"/>
      <c r="G348" s="541"/>
      <c r="H348" s="541" t="s">
        <v>606</v>
      </c>
      <c r="I348" s="541" t="s">
        <v>516</v>
      </c>
      <c r="J348" s="593">
        <v>584</v>
      </c>
    </row>
    <row r="349" spans="1:10" ht="13.5">
      <c r="A349" s="583"/>
      <c r="B349" s="584"/>
      <c r="C349" s="585" t="s">
        <v>541</v>
      </c>
      <c r="D349" s="583"/>
      <c r="E349" s="585"/>
      <c r="F349" s="583"/>
      <c r="G349" s="585">
        <v>160</v>
      </c>
      <c r="H349" s="585"/>
      <c r="I349" s="585"/>
      <c r="J349" s="586">
        <f>SUM(J339:J348)</f>
        <v>26902</v>
      </c>
    </row>
    <row r="350" spans="1:10" ht="13.5">
      <c r="A350" s="543"/>
      <c r="B350" s="579"/>
      <c r="C350" s="541" t="s">
        <v>541</v>
      </c>
      <c r="D350" s="543"/>
      <c r="E350" s="541" t="s">
        <v>517</v>
      </c>
      <c r="F350" s="543"/>
      <c r="G350" s="541">
        <v>190</v>
      </c>
      <c r="H350" s="541" t="s">
        <v>630</v>
      </c>
      <c r="I350" s="541" t="s">
        <v>516</v>
      </c>
      <c r="J350" s="593">
        <v>4866</v>
      </c>
    </row>
    <row r="351" spans="1:10" ht="13.5">
      <c r="A351" s="543"/>
      <c r="B351" s="579"/>
      <c r="C351" s="541"/>
      <c r="D351" s="543"/>
      <c r="E351" s="541"/>
      <c r="F351" s="543"/>
      <c r="G351" s="541"/>
      <c r="H351" s="541" t="s">
        <v>597</v>
      </c>
      <c r="I351" s="541" t="s">
        <v>516</v>
      </c>
      <c r="J351" s="593">
        <v>487</v>
      </c>
    </row>
    <row r="352" spans="1:10" ht="13.5">
      <c r="A352" s="543"/>
      <c r="B352" s="579"/>
      <c r="C352" s="541"/>
      <c r="D352" s="543"/>
      <c r="E352" s="541"/>
      <c r="F352" s="543"/>
      <c r="G352" s="541"/>
      <c r="H352" s="541" t="s">
        <v>590</v>
      </c>
      <c r="I352" s="541" t="s">
        <v>516</v>
      </c>
      <c r="J352" s="593">
        <v>69</v>
      </c>
    </row>
    <row r="353" spans="1:10" ht="13.5">
      <c r="A353" s="543"/>
      <c r="B353" s="579"/>
      <c r="C353" s="541"/>
      <c r="D353" s="543"/>
      <c r="E353" s="541"/>
      <c r="F353" s="543"/>
      <c r="G353" s="541"/>
      <c r="H353" s="541" t="s">
        <v>591</v>
      </c>
      <c r="I353" s="541" t="s">
        <v>516</v>
      </c>
      <c r="J353" s="593">
        <v>682</v>
      </c>
    </row>
    <row r="354" spans="1:10" ht="13.5">
      <c r="A354" s="543"/>
      <c r="B354" s="579"/>
      <c r="C354" s="541"/>
      <c r="D354" s="543"/>
      <c r="E354" s="541"/>
      <c r="F354" s="543"/>
      <c r="G354" s="541"/>
      <c r="H354" s="541" t="s">
        <v>592</v>
      </c>
      <c r="I354" s="541" t="s">
        <v>516</v>
      </c>
      <c r="J354" s="593">
        <v>39</v>
      </c>
    </row>
    <row r="355" spans="1:10" ht="13.5">
      <c r="A355" s="543"/>
      <c r="B355" s="579"/>
      <c r="C355" s="541"/>
      <c r="D355" s="543"/>
      <c r="E355" s="541"/>
      <c r="F355" s="543"/>
      <c r="G355" s="541"/>
      <c r="H355" s="541" t="s">
        <v>593</v>
      </c>
      <c r="I355" s="541" t="s">
        <v>516</v>
      </c>
      <c r="J355" s="593">
        <v>146</v>
      </c>
    </row>
    <row r="356" spans="1:10" ht="13.5">
      <c r="A356" s="543"/>
      <c r="B356" s="579"/>
      <c r="C356" s="541"/>
      <c r="D356" s="543"/>
      <c r="E356" s="541"/>
      <c r="F356" s="543"/>
      <c r="G356" s="541"/>
      <c r="H356" s="541" t="s">
        <v>594</v>
      </c>
      <c r="I356" s="541" t="s">
        <v>516</v>
      </c>
      <c r="J356" s="593">
        <v>49</v>
      </c>
    </row>
    <row r="357" spans="1:10" ht="13.5">
      <c r="A357" s="543"/>
      <c r="B357" s="579"/>
      <c r="C357" s="541"/>
      <c r="D357" s="543"/>
      <c r="E357" s="541"/>
      <c r="F357" s="543"/>
      <c r="G357" s="541"/>
      <c r="H357" s="541" t="s">
        <v>595</v>
      </c>
      <c r="I357" s="541" t="s">
        <v>516</v>
      </c>
      <c r="J357" s="593">
        <v>13</v>
      </c>
    </row>
    <row r="358" spans="1:10" ht="13.5">
      <c r="A358" s="543"/>
      <c r="B358" s="579"/>
      <c r="C358" s="541"/>
      <c r="D358" s="543"/>
      <c r="E358" s="541"/>
      <c r="F358" s="543"/>
      <c r="G358" s="541"/>
      <c r="H358" s="541" t="s">
        <v>596</v>
      </c>
      <c r="I358" s="541" t="s">
        <v>516</v>
      </c>
      <c r="J358" s="593">
        <v>232</v>
      </c>
    </row>
    <row r="359" spans="1:10" ht="13.5">
      <c r="A359" s="543"/>
      <c r="B359" s="579"/>
      <c r="C359" s="541"/>
      <c r="D359" s="543"/>
      <c r="E359" s="541"/>
      <c r="F359" s="543"/>
      <c r="G359" s="541"/>
      <c r="H359" s="541" t="s">
        <v>606</v>
      </c>
      <c r="I359" s="541" t="s">
        <v>516</v>
      </c>
      <c r="J359" s="593">
        <v>146</v>
      </c>
    </row>
    <row r="360" spans="1:10" ht="13.5">
      <c r="A360" s="583"/>
      <c r="B360" s="584"/>
      <c r="C360" s="585" t="s">
        <v>541</v>
      </c>
      <c r="D360" s="583"/>
      <c r="E360" s="585"/>
      <c r="F360" s="583"/>
      <c r="G360" s="585">
        <v>190</v>
      </c>
      <c r="H360" s="585"/>
      <c r="I360" s="585"/>
      <c r="J360" s="586">
        <f>SUM(J350:J359)</f>
        <v>6729</v>
      </c>
    </row>
    <row r="361" spans="1:10" ht="13.5">
      <c r="A361" s="543"/>
      <c r="B361" s="579"/>
      <c r="C361" s="541" t="s">
        <v>541</v>
      </c>
      <c r="D361" s="543"/>
      <c r="E361" s="541" t="s">
        <v>517</v>
      </c>
      <c r="F361" s="543"/>
      <c r="G361" s="541">
        <v>200</v>
      </c>
      <c r="H361" s="541" t="s">
        <v>630</v>
      </c>
      <c r="I361" s="541" t="s">
        <v>516</v>
      </c>
      <c r="J361" s="593">
        <v>19464</v>
      </c>
    </row>
    <row r="362" spans="1:10" ht="13.5">
      <c r="A362" s="543"/>
      <c r="B362" s="579"/>
      <c r="C362" s="541"/>
      <c r="D362" s="543"/>
      <c r="E362" s="541"/>
      <c r="F362" s="543"/>
      <c r="G362" s="541"/>
      <c r="H362" s="541" t="s">
        <v>597</v>
      </c>
      <c r="I362" s="541" t="s">
        <v>516</v>
      </c>
      <c r="J362" s="593">
        <v>1947</v>
      </c>
    </row>
    <row r="363" spans="1:10" ht="13.5">
      <c r="A363" s="543"/>
      <c r="B363" s="579"/>
      <c r="C363" s="541"/>
      <c r="D363" s="543"/>
      <c r="E363" s="541"/>
      <c r="F363" s="543"/>
      <c r="G363" s="541"/>
      <c r="H363" s="541" t="s">
        <v>590</v>
      </c>
      <c r="I363" s="541" t="s">
        <v>516</v>
      </c>
      <c r="J363" s="593">
        <v>273</v>
      </c>
    </row>
    <row r="364" spans="1:10" ht="13.5">
      <c r="A364" s="543"/>
      <c r="B364" s="579"/>
      <c r="C364" s="541"/>
      <c r="D364" s="543"/>
      <c r="E364" s="541"/>
      <c r="F364" s="543"/>
      <c r="G364" s="541"/>
      <c r="H364" s="541" t="s">
        <v>591</v>
      </c>
      <c r="I364" s="541" t="s">
        <v>516</v>
      </c>
      <c r="J364" s="593">
        <v>2725</v>
      </c>
    </row>
    <row r="365" spans="1:10" ht="13.5">
      <c r="A365" s="543"/>
      <c r="B365" s="579"/>
      <c r="C365" s="541"/>
      <c r="D365" s="543"/>
      <c r="E365" s="541"/>
      <c r="F365" s="543"/>
      <c r="G365" s="541"/>
      <c r="H365" s="541" t="s">
        <v>592</v>
      </c>
      <c r="I365" s="541" t="s">
        <v>516</v>
      </c>
      <c r="J365" s="593">
        <v>156</v>
      </c>
    </row>
    <row r="366" spans="1:10" ht="13.5">
      <c r="A366" s="543"/>
      <c r="B366" s="579"/>
      <c r="C366" s="541"/>
      <c r="D366" s="543"/>
      <c r="E366" s="541"/>
      <c r="F366" s="543"/>
      <c r="G366" s="541"/>
      <c r="H366" s="541" t="s">
        <v>593</v>
      </c>
      <c r="I366" s="541" t="s">
        <v>516</v>
      </c>
      <c r="J366" s="593">
        <v>584</v>
      </c>
    </row>
    <row r="367" spans="1:10" ht="13.5">
      <c r="A367" s="543"/>
      <c r="B367" s="579"/>
      <c r="C367" s="541"/>
      <c r="D367" s="543"/>
      <c r="E367" s="541"/>
      <c r="F367" s="543"/>
      <c r="G367" s="541"/>
      <c r="H367" s="541" t="s">
        <v>594</v>
      </c>
      <c r="I367" s="541" t="s">
        <v>516</v>
      </c>
      <c r="J367" s="593">
        <v>195</v>
      </c>
    </row>
    <row r="368" spans="1:10" ht="13.5">
      <c r="A368" s="543"/>
      <c r="B368" s="579"/>
      <c r="C368" s="541"/>
      <c r="D368" s="543"/>
      <c r="E368" s="541"/>
      <c r="F368" s="543"/>
      <c r="G368" s="541"/>
      <c r="H368" s="541" t="s">
        <v>595</v>
      </c>
      <c r="I368" s="541" t="s">
        <v>516</v>
      </c>
      <c r="J368" s="593">
        <v>49</v>
      </c>
    </row>
    <row r="369" spans="1:10" ht="13.5">
      <c r="A369" s="543"/>
      <c r="B369" s="579"/>
      <c r="C369" s="541"/>
      <c r="D369" s="543"/>
      <c r="E369" s="541"/>
      <c r="F369" s="543"/>
      <c r="G369" s="541"/>
      <c r="H369" s="541" t="s">
        <v>596</v>
      </c>
      <c r="I369" s="541" t="s">
        <v>516</v>
      </c>
      <c r="J369" s="593">
        <v>925</v>
      </c>
    </row>
    <row r="370" spans="1:10" ht="13.5">
      <c r="A370" s="543"/>
      <c r="B370" s="579"/>
      <c r="C370" s="541"/>
      <c r="D370" s="543"/>
      <c r="E370" s="541"/>
      <c r="F370" s="543"/>
      <c r="G370" s="541"/>
      <c r="H370" s="541" t="s">
        <v>606</v>
      </c>
      <c r="I370" s="541" t="s">
        <v>516</v>
      </c>
      <c r="J370" s="593">
        <v>584</v>
      </c>
    </row>
    <row r="371" spans="1:10" ht="13.5">
      <c r="A371" s="583"/>
      <c r="B371" s="584"/>
      <c r="C371" s="585" t="s">
        <v>541</v>
      </c>
      <c r="D371" s="583"/>
      <c r="E371" s="585"/>
      <c r="F371" s="583"/>
      <c r="G371" s="585">
        <v>200</v>
      </c>
      <c r="H371" s="585"/>
      <c r="I371" s="585"/>
      <c r="J371" s="586">
        <f>SUM(J361:J370)</f>
        <v>26902</v>
      </c>
    </row>
    <row r="372" spans="1:10" ht="13.5">
      <c r="A372" s="543"/>
      <c r="B372" s="579"/>
      <c r="C372" s="541" t="s">
        <v>541</v>
      </c>
      <c r="D372" s="543"/>
      <c r="E372" s="541" t="s">
        <v>517</v>
      </c>
      <c r="F372" s="543"/>
      <c r="G372" s="541">
        <v>210</v>
      </c>
      <c r="H372" s="541" t="s">
        <v>630</v>
      </c>
      <c r="I372" s="541" t="s">
        <v>516</v>
      </c>
      <c r="J372" s="593">
        <v>9732</v>
      </c>
    </row>
    <row r="373" spans="1:10" ht="13.5">
      <c r="A373" s="543"/>
      <c r="B373" s="579"/>
      <c r="C373" s="541"/>
      <c r="D373" s="543"/>
      <c r="E373" s="541"/>
      <c r="F373" s="543"/>
      <c r="G373" s="541"/>
      <c r="H373" s="541" t="s">
        <v>597</v>
      </c>
      <c r="I373" s="541" t="s">
        <v>516</v>
      </c>
      <c r="J373" s="593">
        <v>974</v>
      </c>
    </row>
    <row r="374" spans="1:10" ht="13.5">
      <c r="A374" s="543"/>
      <c r="B374" s="579"/>
      <c r="C374" s="541"/>
      <c r="D374" s="543"/>
      <c r="E374" s="541"/>
      <c r="F374" s="543"/>
      <c r="G374" s="541"/>
      <c r="H374" s="541" t="s">
        <v>590</v>
      </c>
      <c r="I374" s="541" t="s">
        <v>516</v>
      </c>
      <c r="J374" s="593">
        <v>137</v>
      </c>
    </row>
    <row r="375" spans="1:10" ht="13.5">
      <c r="A375" s="543"/>
      <c r="B375" s="579"/>
      <c r="C375" s="541"/>
      <c r="D375" s="543"/>
      <c r="E375" s="541"/>
      <c r="F375" s="543"/>
      <c r="G375" s="541"/>
      <c r="H375" s="541" t="s">
        <v>591</v>
      </c>
      <c r="I375" s="541" t="s">
        <v>516</v>
      </c>
      <c r="J375" s="593">
        <v>1363</v>
      </c>
    </row>
    <row r="376" spans="1:10" ht="13.5">
      <c r="A376" s="543"/>
      <c r="B376" s="579"/>
      <c r="C376" s="541"/>
      <c r="D376" s="543"/>
      <c r="E376" s="541"/>
      <c r="F376" s="543"/>
      <c r="G376" s="541"/>
      <c r="H376" s="541" t="s">
        <v>592</v>
      </c>
      <c r="I376" s="541" t="s">
        <v>516</v>
      </c>
      <c r="J376" s="593">
        <v>78</v>
      </c>
    </row>
    <row r="377" spans="1:10" ht="13.5">
      <c r="A377" s="543"/>
      <c r="B377" s="579"/>
      <c r="C377" s="541"/>
      <c r="D377" s="543"/>
      <c r="E377" s="541"/>
      <c r="F377" s="543"/>
      <c r="G377" s="541"/>
      <c r="H377" s="541" t="s">
        <v>593</v>
      </c>
      <c r="I377" s="541" t="s">
        <v>516</v>
      </c>
      <c r="J377" s="593">
        <v>292</v>
      </c>
    </row>
    <row r="378" spans="1:10" ht="13.5">
      <c r="A378" s="543"/>
      <c r="B378" s="579"/>
      <c r="C378" s="541"/>
      <c r="D378" s="543"/>
      <c r="E378" s="541"/>
      <c r="F378" s="543"/>
      <c r="G378" s="541"/>
      <c r="H378" s="541" t="s">
        <v>594</v>
      </c>
      <c r="I378" s="541" t="s">
        <v>516</v>
      </c>
      <c r="J378" s="593">
        <v>98</v>
      </c>
    </row>
    <row r="379" spans="1:10" ht="13.5">
      <c r="A379" s="543"/>
      <c r="B379" s="579"/>
      <c r="C379" s="541"/>
      <c r="D379" s="543"/>
      <c r="E379" s="541"/>
      <c r="F379" s="543"/>
      <c r="G379" s="541"/>
      <c r="H379" s="541" t="s">
        <v>595</v>
      </c>
      <c r="I379" s="541" t="s">
        <v>516</v>
      </c>
      <c r="J379" s="593">
        <v>25</v>
      </c>
    </row>
    <row r="380" spans="1:10" ht="13.5">
      <c r="A380" s="543"/>
      <c r="B380" s="579"/>
      <c r="C380" s="541"/>
      <c r="D380" s="543"/>
      <c r="E380" s="541"/>
      <c r="F380" s="543"/>
      <c r="G380" s="541"/>
      <c r="H380" s="541" t="s">
        <v>596</v>
      </c>
      <c r="I380" s="541" t="s">
        <v>516</v>
      </c>
      <c r="J380" s="593">
        <v>463</v>
      </c>
    </row>
    <row r="381" spans="1:10" ht="13.5">
      <c r="A381" s="543"/>
      <c r="B381" s="579"/>
      <c r="C381" s="541"/>
      <c r="D381" s="543"/>
      <c r="E381" s="541"/>
      <c r="F381" s="543"/>
      <c r="G381" s="541"/>
      <c r="H381" s="541" t="s">
        <v>606</v>
      </c>
      <c r="I381" s="541" t="s">
        <v>516</v>
      </c>
      <c r="J381" s="593">
        <v>292</v>
      </c>
    </row>
    <row r="382" spans="1:10" ht="13.5">
      <c r="A382" s="583"/>
      <c r="B382" s="584"/>
      <c r="C382" s="585" t="s">
        <v>541</v>
      </c>
      <c r="D382" s="583"/>
      <c r="E382" s="585"/>
      <c r="F382" s="583"/>
      <c r="G382" s="585">
        <v>210</v>
      </c>
      <c r="H382" s="585"/>
      <c r="I382" s="585"/>
      <c r="J382" s="586">
        <f>SUM(J372:J381)</f>
        <v>13454</v>
      </c>
    </row>
    <row r="383" spans="1:10" ht="13.5">
      <c r="A383" s="543"/>
      <c r="B383" s="579"/>
      <c r="C383" s="541" t="s">
        <v>541</v>
      </c>
      <c r="D383" s="543"/>
      <c r="E383" s="541" t="s">
        <v>517</v>
      </c>
      <c r="F383" s="543"/>
      <c r="G383" s="541">
        <v>220</v>
      </c>
      <c r="H383" s="541" t="s">
        <v>630</v>
      </c>
      <c r="I383" s="541" t="s">
        <v>516</v>
      </c>
      <c r="J383" s="593">
        <v>4866</v>
      </c>
    </row>
    <row r="384" spans="1:10" ht="13.5">
      <c r="A384" s="543"/>
      <c r="B384" s="579"/>
      <c r="C384" s="541"/>
      <c r="D384" s="543"/>
      <c r="E384" s="541"/>
      <c r="F384" s="543"/>
      <c r="G384" s="541"/>
      <c r="H384" s="541" t="s">
        <v>597</v>
      </c>
      <c r="I384" s="541" t="s">
        <v>516</v>
      </c>
      <c r="J384" s="593">
        <v>487</v>
      </c>
    </row>
    <row r="385" spans="1:10" ht="13.5">
      <c r="A385" s="543"/>
      <c r="B385" s="579"/>
      <c r="C385" s="541"/>
      <c r="D385" s="543"/>
      <c r="E385" s="541"/>
      <c r="F385" s="543"/>
      <c r="G385" s="541"/>
      <c r="H385" s="541" t="s">
        <v>590</v>
      </c>
      <c r="I385" s="541" t="s">
        <v>516</v>
      </c>
      <c r="J385" s="593">
        <v>69</v>
      </c>
    </row>
    <row r="386" spans="1:10" ht="13.5">
      <c r="A386" s="543"/>
      <c r="B386" s="579"/>
      <c r="C386" s="541"/>
      <c r="D386" s="543"/>
      <c r="E386" s="541"/>
      <c r="F386" s="543"/>
      <c r="G386" s="541"/>
      <c r="H386" s="541" t="s">
        <v>591</v>
      </c>
      <c r="I386" s="541" t="s">
        <v>516</v>
      </c>
      <c r="J386" s="593">
        <v>682</v>
      </c>
    </row>
    <row r="387" spans="1:10" ht="13.5">
      <c r="A387" s="543"/>
      <c r="B387" s="579"/>
      <c r="C387" s="541"/>
      <c r="D387" s="543"/>
      <c r="E387" s="541"/>
      <c r="F387" s="543"/>
      <c r="G387" s="541"/>
      <c r="H387" s="541" t="s">
        <v>592</v>
      </c>
      <c r="I387" s="541" t="s">
        <v>516</v>
      </c>
      <c r="J387" s="593">
        <v>39</v>
      </c>
    </row>
    <row r="388" spans="1:10" ht="13.5">
      <c r="A388" s="543"/>
      <c r="B388" s="579"/>
      <c r="C388" s="541"/>
      <c r="D388" s="543"/>
      <c r="E388" s="541"/>
      <c r="F388" s="543"/>
      <c r="G388" s="541"/>
      <c r="H388" s="541" t="s">
        <v>593</v>
      </c>
      <c r="I388" s="541" t="s">
        <v>516</v>
      </c>
      <c r="J388" s="593">
        <v>146</v>
      </c>
    </row>
    <row r="389" spans="1:10" ht="13.5">
      <c r="A389" s="543"/>
      <c r="B389" s="579"/>
      <c r="C389" s="541"/>
      <c r="D389" s="543"/>
      <c r="E389" s="541"/>
      <c r="F389" s="543"/>
      <c r="G389" s="541"/>
      <c r="H389" s="541" t="s">
        <v>594</v>
      </c>
      <c r="I389" s="541" t="s">
        <v>516</v>
      </c>
      <c r="J389" s="593">
        <v>49</v>
      </c>
    </row>
    <row r="390" spans="1:10" ht="13.5">
      <c r="A390" s="543"/>
      <c r="B390" s="579"/>
      <c r="C390" s="541"/>
      <c r="D390" s="543"/>
      <c r="E390" s="541"/>
      <c r="F390" s="543"/>
      <c r="G390" s="541"/>
      <c r="H390" s="541" t="s">
        <v>595</v>
      </c>
      <c r="I390" s="541" t="s">
        <v>516</v>
      </c>
      <c r="J390" s="593">
        <v>13</v>
      </c>
    </row>
    <row r="391" spans="1:10" ht="13.5">
      <c r="A391" s="543"/>
      <c r="B391" s="579"/>
      <c r="C391" s="541"/>
      <c r="D391" s="543"/>
      <c r="E391" s="541"/>
      <c r="F391" s="543"/>
      <c r="G391" s="541"/>
      <c r="H391" s="541" t="s">
        <v>596</v>
      </c>
      <c r="I391" s="541" t="s">
        <v>516</v>
      </c>
      <c r="J391" s="593">
        <v>232</v>
      </c>
    </row>
    <row r="392" spans="1:10" ht="13.5">
      <c r="A392" s="543"/>
      <c r="B392" s="579"/>
      <c r="C392" s="541"/>
      <c r="D392" s="543"/>
      <c r="E392" s="541"/>
      <c r="F392" s="543"/>
      <c r="G392" s="541"/>
      <c r="H392" s="541" t="s">
        <v>606</v>
      </c>
      <c r="I392" s="541" t="s">
        <v>516</v>
      </c>
      <c r="J392" s="593">
        <v>146</v>
      </c>
    </row>
    <row r="393" spans="1:10" ht="13.5">
      <c r="A393" s="583"/>
      <c r="B393" s="584"/>
      <c r="C393" s="585" t="s">
        <v>541</v>
      </c>
      <c r="D393" s="583"/>
      <c r="E393" s="585"/>
      <c r="F393" s="583"/>
      <c r="G393" s="585">
        <v>220</v>
      </c>
      <c r="H393" s="585"/>
      <c r="I393" s="585"/>
      <c r="J393" s="586">
        <f>SUM(J383:J392)</f>
        <v>6729</v>
      </c>
    </row>
    <row r="394" spans="1:10" ht="13.5">
      <c r="A394" s="543"/>
      <c r="B394" s="579"/>
      <c r="C394" s="541" t="s">
        <v>541</v>
      </c>
      <c r="D394" s="543"/>
      <c r="E394" s="541" t="s">
        <v>517</v>
      </c>
      <c r="F394" s="543"/>
      <c r="G394" s="541">
        <v>230</v>
      </c>
      <c r="H394" s="541" t="s">
        <v>630</v>
      </c>
      <c r="I394" s="541" t="s">
        <v>516</v>
      </c>
      <c r="J394" s="593">
        <v>4866</v>
      </c>
    </row>
    <row r="395" spans="1:10" ht="13.5">
      <c r="A395" s="543"/>
      <c r="B395" s="579"/>
      <c r="C395" s="541"/>
      <c r="D395" s="543"/>
      <c r="E395" s="541"/>
      <c r="F395" s="543"/>
      <c r="G395" s="541"/>
      <c r="H395" s="541" t="s">
        <v>597</v>
      </c>
      <c r="I395" s="541" t="s">
        <v>516</v>
      </c>
      <c r="J395" s="593">
        <v>487</v>
      </c>
    </row>
    <row r="396" spans="1:10" ht="13.5">
      <c r="A396" s="543"/>
      <c r="B396" s="579"/>
      <c r="C396" s="541"/>
      <c r="D396" s="543"/>
      <c r="E396" s="541"/>
      <c r="F396" s="543"/>
      <c r="G396" s="541"/>
      <c r="H396" s="541" t="s">
        <v>590</v>
      </c>
      <c r="I396" s="541" t="s">
        <v>516</v>
      </c>
      <c r="J396" s="593">
        <v>69</v>
      </c>
    </row>
    <row r="397" spans="1:10" ht="13.5">
      <c r="A397" s="543"/>
      <c r="B397" s="579"/>
      <c r="C397" s="541"/>
      <c r="D397" s="543"/>
      <c r="E397" s="541"/>
      <c r="F397" s="543"/>
      <c r="G397" s="541"/>
      <c r="H397" s="541" t="s">
        <v>591</v>
      </c>
      <c r="I397" s="541" t="s">
        <v>516</v>
      </c>
      <c r="J397" s="593">
        <v>682</v>
      </c>
    </row>
    <row r="398" spans="1:10" ht="13.5">
      <c r="A398" s="543"/>
      <c r="B398" s="579"/>
      <c r="C398" s="541"/>
      <c r="D398" s="543"/>
      <c r="E398" s="541"/>
      <c r="F398" s="543"/>
      <c r="G398" s="541"/>
      <c r="H398" s="541" t="s">
        <v>592</v>
      </c>
      <c r="I398" s="541" t="s">
        <v>516</v>
      </c>
      <c r="J398" s="593">
        <v>39</v>
      </c>
    </row>
    <row r="399" spans="1:10" ht="13.5">
      <c r="A399" s="543"/>
      <c r="B399" s="579"/>
      <c r="C399" s="541"/>
      <c r="D399" s="543"/>
      <c r="E399" s="541"/>
      <c r="F399" s="543"/>
      <c r="G399" s="541"/>
      <c r="H399" s="541" t="s">
        <v>593</v>
      </c>
      <c r="I399" s="541" t="s">
        <v>516</v>
      </c>
      <c r="J399" s="593">
        <v>146</v>
      </c>
    </row>
    <row r="400" spans="1:10" ht="13.5">
      <c r="A400" s="543"/>
      <c r="B400" s="579"/>
      <c r="C400" s="541"/>
      <c r="D400" s="543"/>
      <c r="E400" s="541"/>
      <c r="F400" s="543"/>
      <c r="G400" s="541"/>
      <c r="H400" s="541" t="s">
        <v>594</v>
      </c>
      <c r="I400" s="541" t="s">
        <v>516</v>
      </c>
      <c r="J400" s="593">
        <v>49</v>
      </c>
    </row>
    <row r="401" spans="1:10" ht="13.5">
      <c r="A401" s="543"/>
      <c r="B401" s="579"/>
      <c r="C401" s="541"/>
      <c r="D401" s="543"/>
      <c r="E401" s="541"/>
      <c r="F401" s="543"/>
      <c r="G401" s="541"/>
      <c r="H401" s="541" t="s">
        <v>595</v>
      </c>
      <c r="I401" s="541" t="s">
        <v>516</v>
      </c>
      <c r="J401" s="593">
        <v>13</v>
      </c>
    </row>
    <row r="402" spans="1:10" ht="13.5">
      <c r="A402" s="543"/>
      <c r="B402" s="579"/>
      <c r="C402" s="541"/>
      <c r="D402" s="543"/>
      <c r="E402" s="541"/>
      <c r="F402" s="543"/>
      <c r="G402" s="541"/>
      <c r="H402" s="541" t="s">
        <v>596</v>
      </c>
      <c r="I402" s="541" t="s">
        <v>516</v>
      </c>
      <c r="J402" s="593">
        <v>232</v>
      </c>
    </row>
    <row r="403" spans="1:10" ht="13.5">
      <c r="A403" s="543"/>
      <c r="B403" s="579"/>
      <c r="C403" s="541"/>
      <c r="D403" s="543"/>
      <c r="E403" s="541"/>
      <c r="F403" s="543"/>
      <c r="G403" s="541"/>
      <c r="H403" s="541" t="s">
        <v>606</v>
      </c>
      <c r="I403" s="541" t="s">
        <v>516</v>
      </c>
      <c r="J403" s="593">
        <v>146</v>
      </c>
    </row>
    <row r="404" spans="1:10" ht="13.5">
      <c r="A404" s="583"/>
      <c r="B404" s="584"/>
      <c r="C404" s="585" t="s">
        <v>541</v>
      </c>
      <c r="D404" s="583"/>
      <c r="E404" s="585"/>
      <c r="F404" s="583"/>
      <c r="G404" s="585">
        <v>230</v>
      </c>
      <c r="H404" s="585"/>
      <c r="I404" s="585"/>
      <c r="J404" s="586">
        <f>SUM(J394:J403)</f>
        <v>6729</v>
      </c>
    </row>
    <row r="405" spans="1:10" ht="13.5">
      <c r="A405" s="543"/>
      <c r="B405" s="579"/>
      <c r="C405" s="541" t="s">
        <v>541</v>
      </c>
      <c r="D405" s="543"/>
      <c r="E405" s="541" t="s">
        <v>517</v>
      </c>
      <c r="F405" s="543"/>
      <c r="G405" s="541">
        <v>240</v>
      </c>
      <c r="H405" s="541" t="s">
        <v>630</v>
      </c>
      <c r="I405" s="541" t="s">
        <v>516</v>
      </c>
      <c r="J405" s="593">
        <v>4866</v>
      </c>
    </row>
    <row r="406" spans="1:10" ht="13.5">
      <c r="A406" s="543"/>
      <c r="B406" s="579"/>
      <c r="C406" s="541"/>
      <c r="D406" s="543"/>
      <c r="E406" s="541"/>
      <c r="F406" s="543"/>
      <c r="G406" s="541"/>
      <c r="H406" s="541" t="s">
        <v>597</v>
      </c>
      <c r="I406" s="541" t="s">
        <v>516</v>
      </c>
      <c r="J406" s="593">
        <v>487</v>
      </c>
    </row>
    <row r="407" spans="1:10" ht="13.5">
      <c r="A407" s="543"/>
      <c r="B407" s="579"/>
      <c r="C407" s="541"/>
      <c r="D407" s="543"/>
      <c r="E407" s="541"/>
      <c r="F407" s="543"/>
      <c r="G407" s="541"/>
      <c r="H407" s="541" t="s">
        <v>590</v>
      </c>
      <c r="I407" s="541" t="s">
        <v>516</v>
      </c>
      <c r="J407" s="593">
        <v>69</v>
      </c>
    </row>
    <row r="408" spans="1:10" ht="13.5">
      <c r="A408" s="543"/>
      <c r="B408" s="579"/>
      <c r="C408" s="541"/>
      <c r="D408" s="543"/>
      <c r="E408" s="541"/>
      <c r="F408" s="543"/>
      <c r="G408" s="541"/>
      <c r="H408" s="541" t="s">
        <v>591</v>
      </c>
      <c r="I408" s="541" t="s">
        <v>516</v>
      </c>
      <c r="J408" s="593">
        <v>682</v>
      </c>
    </row>
    <row r="409" spans="1:10" ht="13.5">
      <c r="A409" s="543"/>
      <c r="B409" s="579"/>
      <c r="C409" s="541"/>
      <c r="D409" s="543"/>
      <c r="E409" s="541"/>
      <c r="F409" s="543"/>
      <c r="G409" s="541"/>
      <c r="H409" s="541" t="s">
        <v>592</v>
      </c>
      <c r="I409" s="541" t="s">
        <v>516</v>
      </c>
      <c r="J409" s="593">
        <v>39</v>
      </c>
    </row>
    <row r="410" spans="1:10" ht="13.5">
      <c r="A410" s="543"/>
      <c r="B410" s="579"/>
      <c r="C410" s="541"/>
      <c r="D410" s="543"/>
      <c r="E410" s="541"/>
      <c r="F410" s="543"/>
      <c r="G410" s="541"/>
      <c r="H410" s="541" t="s">
        <v>593</v>
      </c>
      <c r="I410" s="541" t="s">
        <v>516</v>
      </c>
      <c r="J410" s="593">
        <v>146</v>
      </c>
    </row>
    <row r="411" spans="1:10" ht="13.5">
      <c r="A411" s="543"/>
      <c r="B411" s="579"/>
      <c r="C411" s="541"/>
      <c r="D411" s="543"/>
      <c r="E411" s="541"/>
      <c r="F411" s="543"/>
      <c r="G411" s="541"/>
      <c r="H411" s="541" t="s">
        <v>594</v>
      </c>
      <c r="I411" s="541" t="s">
        <v>516</v>
      </c>
      <c r="J411" s="593">
        <v>49</v>
      </c>
    </row>
    <row r="412" spans="1:10" ht="13.5">
      <c r="A412" s="543"/>
      <c r="B412" s="579"/>
      <c r="C412" s="541"/>
      <c r="D412" s="543"/>
      <c r="E412" s="541"/>
      <c r="F412" s="543"/>
      <c r="G412" s="541"/>
      <c r="H412" s="541" t="s">
        <v>595</v>
      </c>
      <c r="I412" s="541" t="s">
        <v>516</v>
      </c>
      <c r="J412" s="593">
        <v>13</v>
      </c>
    </row>
    <row r="413" spans="1:10" ht="13.5">
      <c r="A413" s="543"/>
      <c r="B413" s="579"/>
      <c r="C413" s="541"/>
      <c r="D413" s="543"/>
      <c r="E413" s="541"/>
      <c r="F413" s="543"/>
      <c r="G413" s="541"/>
      <c r="H413" s="541" t="s">
        <v>596</v>
      </c>
      <c r="I413" s="541" t="s">
        <v>516</v>
      </c>
      <c r="J413" s="593">
        <v>232</v>
      </c>
    </row>
    <row r="414" spans="1:10" ht="13.5">
      <c r="A414" s="543"/>
      <c r="B414" s="579"/>
      <c r="C414" s="541"/>
      <c r="D414" s="543"/>
      <c r="E414" s="541"/>
      <c r="F414" s="543"/>
      <c r="G414" s="541"/>
      <c r="H414" s="541" t="s">
        <v>606</v>
      </c>
      <c r="I414" s="541" t="s">
        <v>516</v>
      </c>
      <c r="J414" s="593">
        <v>146</v>
      </c>
    </row>
    <row r="415" spans="1:10" ht="13.5">
      <c r="A415" s="583"/>
      <c r="B415" s="584"/>
      <c r="C415" s="585" t="s">
        <v>541</v>
      </c>
      <c r="D415" s="583"/>
      <c r="E415" s="585"/>
      <c r="F415" s="583"/>
      <c r="G415" s="585">
        <v>240</v>
      </c>
      <c r="H415" s="585"/>
      <c r="I415" s="585"/>
      <c r="J415" s="586">
        <f>SUM(J405:J414)</f>
        <v>6729</v>
      </c>
    </row>
    <row r="416" spans="1:10" ht="13.5">
      <c r="A416" s="543"/>
      <c r="B416" s="579"/>
      <c r="C416" s="541" t="s">
        <v>541</v>
      </c>
      <c r="D416" s="543"/>
      <c r="E416" s="541" t="s">
        <v>517</v>
      </c>
      <c r="F416" s="543"/>
      <c r="G416" s="541">
        <v>260</v>
      </c>
      <c r="H416" s="541" t="s">
        <v>630</v>
      </c>
      <c r="I416" s="541" t="s">
        <v>516</v>
      </c>
      <c r="J416" s="593">
        <v>4866</v>
      </c>
    </row>
    <row r="417" spans="1:10" ht="13.5">
      <c r="A417" s="543"/>
      <c r="B417" s="579"/>
      <c r="C417" s="541"/>
      <c r="D417" s="543"/>
      <c r="E417" s="541"/>
      <c r="F417" s="543"/>
      <c r="G417" s="541"/>
      <c r="H417" s="541" t="s">
        <v>597</v>
      </c>
      <c r="I417" s="541" t="s">
        <v>516</v>
      </c>
      <c r="J417" s="593">
        <v>487</v>
      </c>
    </row>
    <row r="418" spans="1:10" ht="13.5">
      <c r="A418" s="543"/>
      <c r="B418" s="579"/>
      <c r="C418" s="541"/>
      <c r="D418" s="543"/>
      <c r="E418" s="541"/>
      <c r="F418" s="543"/>
      <c r="G418" s="541"/>
      <c r="H418" s="541" t="s">
        <v>590</v>
      </c>
      <c r="I418" s="541" t="s">
        <v>516</v>
      </c>
      <c r="J418" s="593">
        <v>69</v>
      </c>
    </row>
    <row r="419" spans="1:10" ht="13.5">
      <c r="A419" s="543"/>
      <c r="B419" s="579"/>
      <c r="C419" s="541"/>
      <c r="D419" s="543"/>
      <c r="E419" s="541"/>
      <c r="F419" s="543"/>
      <c r="G419" s="541"/>
      <c r="H419" s="541" t="s">
        <v>591</v>
      </c>
      <c r="I419" s="541" t="s">
        <v>516</v>
      </c>
      <c r="J419" s="593">
        <v>682</v>
      </c>
    </row>
    <row r="420" spans="1:10" ht="13.5">
      <c r="A420" s="543"/>
      <c r="B420" s="579"/>
      <c r="C420" s="541"/>
      <c r="D420" s="543"/>
      <c r="E420" s="541"/>
      <c r="F420" s="543"/>
      <c r="G420" s="541"/>
      <c r="H420" s="541" t="s">
        <v>592</v>
      </c>
      <c r="I420" s="541" t="s">
        <v>516</v>
      </c>
      <c r="J420" s="593">
        <v>39</v>
      </c>
    </row>
    <row r="421" spans="1:10" ht="13.5">
      <c r="A421" s="543"/>
      <c r="B421" s="579"/>
      <c r="C421" s="541"/>
      <c r="D421" s="543"/>
      <c r="E421" s="541"/>
      <c r="F421" s="543"/>
      <c r="G421" s="541"/>
      <c r="H421" s="541" t="s">
        <v>593</v>
      </c>
      <c r="I421" s="541" t="s">
        <v>516</v>
      </c>
      <c r="J421" s="593">
        <v>146</v>
      </c>
    </row>
    <row r="422" spans="1:10" ht="13.5">
      <c r="A422" s="543"/>
      <c r="B422" s="579"/>
      <c r="C422" s="541"/>
      <c r="D422" s="543"/>
      <c r="E422" s="541"/>
      <c r="F422" s="543"/>
      <c r="G422" s="541"/>
      <c r="H422" s="541" t="s">
        <v>594</v>
      </c>
      <c r="I422" s="541" t="s">
        <v>516</v>
      </c>
      <c r="J422" s="593">
        <v>49</v>
      </c>
    </row>
    <row r="423" spans="1:10" ht="13.5">
      <c r="A423" s="543"/>
      <c r="B423" s="579"/>
      <c r="C423" s="541"/>
      <c r="D423" s="543"/>
      <c r="E423" s="541"/>
      <c r="F423" s="543"/>
      <c r="G423" s="541"/>
      <c r="H423" s="541" t="s">
        <v>595</v>
      </c>
      <c r="I423" s="541" t="s">
        <v>516</v>
      </c>
      <c r="J423" s="593">
        <v>13</v>
      </c>
    </row>
    <row r="424" spans="1:10" ht="13.5">
      <c r="A424" s="543"/>
      <c r="B424" s="579"/>
      <c r="C424" s="541"/>
      <c r="D424" s="543"/>
      <c r="E424" s="541"/>
      <c r="F424" s="543"/>
      <c r="G424" s="541"/>
      <c r="H424" s="541" t="s">
        <v>596</v>
      </c>
      <c r="I424" s="541" t="s">
        <v>516</v>
      </c>
      <c r="J424" s="593">
        <v>232</v>
      </c>
    </row>
    <row r="425" spans="1:10" ht="13.5">
      <c r="A425" s="543"/>
      <c r="B425" s="579"/>
      <c r="C425" s="541"/>
      <c r="D425" s="543"/>
      <c r="E425" s="541"/>
      <c r="F425" s="543"/>
      <c r="G425" s="541"/>
      <c r="H425" s="541" t="s">
        <v>606</v>
      </c>
      <c r="I425" s="541" t="s">
        <v>516</v>
      </c>
      <c r="J425" s="593">
        <v>146</v>
      </c>
    </row>
    <row r="426" spans="1:10" ht="13.5">
      <c r="A426" s="583"/>
      <c r="B426" s="584"/>
      <c r="C426" s="585" t="s">
        <v>541</v>
      </c>
      <c r="D426" s="583"/>
      <c r="E426" s="585"/>
      <c r="F426" s="583"/>
      <c r="G426" s="585">
        <v>260</v>
      </c>
      <c r="H426" s="585"/>
      <c r="I426" s="585"/>
      <c r="J426" s="586">
        <f>SUM(J416:J425)</f>
        <v>6729</v>
      </c>
    </row>
    <row r="427" spans="1:10" ht="13.5">
      <c r="A427" s="543"/>
      <c r="B427" s="579"/>
      <c r="C427" s="541" t="s">
        <v>541</v>
      </c>
      <c r="D427" s="543"/>
      <c r="E427" s="541" t="s">
        <v>517</v>
      </c>
      <c r="F427" s="543"/>
      <c r="G427" s="541">
        <v>270</v>
      </c>
      <c r="H427" s="541" t="s">
        <v>630</v>
      </c>
      <c r="I427" s="541" t="s">
        <v>516</v>
      </c>
      <c r="J427" s="593">
        <v>4866</v>
      </c>
    </row>
    <row r="428" spans="1:10" ht="13.5">
      <c r="A428" s="543"/>
      <c r="B428" s="579"/>
      <c r="C428" s="541"/>
      <c r="D428" s="543"/>
      <c r="E428" s="541"/>
      <c r="F428" s="543"/>
      <c r="G428" s="541"/>
      <c r="H428" s="541" t="s">
        <v>597</v>
      </c>
      <c r="I428" s="541" t="s">
        <v>516</v>
      </c>
      <c r="J428" s="593">
        <v>487</v>
      </c>
    </row>
    <row r="429" spans="1:10" ht="13.5">
      <c r="A429" s="543"/>
      <c r="B429" s="579"/>
      <c r="C429" s="541"/>
      <c r="D429" s="543"/>
      <c r="E429" s="541"/>
      <c r="F429" s="543"/>
      <c r="G429" s="541"/>
      <c r="H429" s="541" t="s">
        <v>590</v>
      </c>
      <c r="I429" s="541" t="s">
        <v>516</v>
      </c>
      <c r="J429" s="593">
        <v>69</v>
      </c>
    </row>
    <row r="430" spans="1:10" ht="13.5">
      <c r="A430" s="543"/>
      <c r="B430" s="579"/>
      <c r="C430" s="541"/>
      <c r="D430" s="543"/>
      <c r="E430" s="541"/>
      <c r="F430" s="543"/>
      <c r="G430" s="541"/>
      <c r="H430" s="541" t="s">
        <v>591</v>
      </c>
      <c r="I430" s="541" t="s">
        <v>516</v>
      </c>
      <c r="J430" s="593">
        <v>682</v>
      </c>
    </row>
    <row r="431" spans="1:10" ht="13.5">
      <c r="A431" s="543"/>
      <c r="B431" s="579"/>
      <c r="C431" s="541"/>
      <c r="D431" s="543"/>
      <c r="E431" s="541"/>
      <c r="F431" s="543"/>
      <c r="G431" s="541"/>
      <c r="H431" s="541" t="s">
        <v>592</v>
      </c>
      <c r="I431" s="541" t="s">
        <v>516</v>
      </c>
      <c r="J431" s="593">
        <v>39</v>
      </c>
    </row>
    <row r="432" spans="1:10" ht="13.5">
      <c r="A432" s="543"/>
      <c r="B432" s="579"/>
      <c r="C432" s="541"/>
      <c r="D432" s="543"/>
      <c r="E432" s="541"/>
      <c r="F432" s="543"/>
      <c r="G432" s="541"/>
      <c r="H432" s="541" t="s">
        <v>593</v>
      </c>
      <c r="I432" s="541" t="s">
        <v>516</v>
      </c>
      <c r="J432" s="593">
        <v>146</v>
      </c>
    </row>
    <row r="433" spans="1:10" ht="13.5">
      <c r="A433" s="543"/>
      <c r="B433" s="579"/>
      <c r="C433" s="541"/>
      <c r="D433" s="543"/>
      <c r="E433" s="541"/>
      <c r="F433" s="543"/>
      <c r="G433" s="541"/>
      <c r="H433" s="541" t="s">
        <v>594</v>
      </c>
      <c r="I433" s="541" t="s">
        <v>516</v>
      </c>
      <c r="J433" s="593">
        <v>49</v>
      </c>
    </row>
    <row r="434" spans="1:10" ht="13.5">
      <c r="A434" s="543"/>
      <c r="B434" s="579"/>
      <c r="C434" s="541"/>
      <c r="D434" s="543"/>
      <c r="E434" s="541"/>
      <c r="F434" s="543"/>
      <c r="G434" s="541"/>
      <c r="H434" s="541" t="s">
        <v>595</v>
      </c>
      <c r="I434" s="541" t="s">
        <v>516</v>
      </c>
      <c r="J434" s="593">
        <v>13</v>
      </c>
    </row>
    <row r="435" spans="1:10" ht="13.5">
      <c r="A435" s="543"/>
      <c r="B435" s="579"/>
      <c r="C435" s="541"/>
      <c r="D435" s="543"/>
      <c r="E435" s="541"/>
      <c r="F435" s="543"/>
      <c r="G435" s="541"/>
      <c r="H435" s="541" t="s">
        <v>596</v>
      </c>
      <c r="I435" s="541" t="s">
        <v>516</v>
      </c>
      <c r="J435" s="593">
        <v>232</v>
      </c>
    </row>
    <row r="436" spans="1:10" ht="13.5">
      <c r="A436" s="543"/>
      <c r="B436" s="579"/>
      <c r="C436" s="541"/>
      <c r="D436" s="543"/>
      <c r="E436" s="541"/>
      <c r="F436" s="543"/>
      <c r="G436" s="541"/>
      <c r="H436" s="541" t="s">
        <v>606</v>
      </c>
      <c r="I436" s="541" t="s">
        <v>516</v>
      </c>
      <c r="J436" s="593">
        <v>146</v>
      </c>
    </row>
    <row r="437" spans="1:10" ht="13.5">
      <c r="A437" s="583"/>
      <c r="B437" s="584"/>
      <c r="C437" s="585" t="s">
        <v>541</v>
      </c>
      <c r="D437" s="583"/>
      <c r="E437" s="585"/>
      <c r="F437" s="583"/>
      <c r="G437" s="585">
        <v>270</v>
      </c>
      <c r="H437" s="585"/>
      <c r="I437" s="585"/>
      <c r="J437" s="586">
        <f>SUM(J427:J436)</f>
        <v>6729</v>
      </c>
    </row>
    <row r="438" spans="1:10" ht="13.5">
      <c r="A438" s="543"/>
      <c r="B438" s="579"/>
      <c r="C438" s="541" t="s">
        <v>541</v>
      </c>
      <c r="D438" s="543"/>
      <c r="E438" s="541" t="s">
        <v>517</v>
      </c>
      <c r="F438" s="543"/>
      <c r="G438" s="541">
        <v>290</v>
      </c>
      <c r="H438" s="541" t="s">
        <v>630</v>
      </c>
      <c r="I438" s="541" t="s">
        <v>516</v>
      </c>
      <c r="J438" s="593">
        <v>9732</v>
      </c>
    </row>
    <row r="439" spans="1:10" ht="13.5">
      <c r="A439" s="543"/>
      <c r="B439" s="579"/>
      <c r="C439" s="541"/>
      <c r="D439" s="543"/>
      <c r="E439" s="541"/>
      <c r="F439" s="543"/>
      <c r="G439" s="541"/>
      <c r="H439" s="541" t="s">
        <v>597</v>
      </c>
      <c r="I439" s="541" t="s">
        <v>516</v>
      </c>
      <c r="J439" s="593">
        <v>974</v>
      </c>
    </row>
    <row r="440" spans="1:10" ht="13.5">
      <c r="A440" s="543"/>
      <c r="B440" s="579"/>
      <c r="C440" s="541"/>
      <c r="D440" s="543"/>
      <c r="E440" s="541"/>
      <c r="F440" s="543"/>
      <c r="G440" s="541"/>
      <c r="H440" s="541" t="s">
        <v>590</v>
      </c>
      <c r="I440" s="541" t="s">
        <v>516</v>
      </c>
      <c r="J440" s="593">
        <v>137</v>
      </c>
    </row>
    <row r="441" spans="1:10" ht="13.5">
      <c r="A441" s="543"/>
      <c r="B441" s="579"/>
      <c r="C441" s="541"/>
      <c r="D441" s="543"/>
      <c r="E441" s="541"/>
      <c r="F441" s="543"/>
      <c r="G441" s="541"/>
      <c r="H441" s="541" t="s">
        <v>591</v>
      </c>
      <c r="I441" s="541" t="s">
        <v>516</v>
      </c>
      <c r="J441" s="593">
        <v>1363</v>
      </c>
    </row>
    <row r="442" spans="1:10" ht="13.5">
      <c r="A442" s="543"/>
      <c r="B442" s="579"/>
      <c r="C442" s="541"/>
      <c r="D442" s="543"/>
      <c r="E442" s="541"/>
      <c r="F442" s="543"/>
      <c r="G442" s="541"/>
      <c r="H442" s="541" t="s">
        <v>592</v>
      </c>
      <c r="I442" s="541" t="s">
        <v>516</v>
      </c>
      <c r="J442" s="593">
        <v>78</v>
      </c>
    </row>
    <row r="443" spans="1:10" ht="13.5">
      <c r="A443" s="543"/>
      <c r="B443" s="579"/>
      <c r="C443" s="541"/>
      <c r="D443" s="543"/>
      <c r="E443" s="541"/>
      <c r="F443" s="543"/>
      <c r="G443" s="541"/>
      <c r="H443" s="541" t="s">
        <v>593</v>
      </c>
      <c r="I443" s="541" t="s">
        <v>516</v>
      </c>
      <c r="J443" s="593">
        <v>292</v>
      </c>
    </row>
    <row r="444" spans="1:10" ht="13.5">
      <c r="A444" s="543"/>
      <c r="B444" s="579"/>
      <c r="C444" s="541"/>
      <c r="D444" s="543"/>
      <c r="E444" s="541"/>
      <c r="F444" s="543"/>
      <c r="G444" s="541"/>
      <c r="H444" s="541" t="s">
        <v>594</v>
      </c>
      <c r="I444" s="541" t="s">
        <v>516</v>
      </c>
      <c r="J444" s="593">
        <v>98</v>
      </c>
    </row>
    <row r="445" spans="1:10" ht="13.5">
      <c r="A445" s="543"/>
      <c r="B445" s="579"/>
      <c r="C445" s="541"/>
      <c r="D445" s="543"/>
      <c r="E445" s="541"/>
      <c r="F445" s="543"/>
      <c r="G445" s="541"/>
      <c r="H445" s="541" t="s">
        <v>595</v>
      </c>
      <c r="I445" s="541" t="s">
        <v>516</v>
      </c>
      <c r="J445" s="593">
        <v>25</v>
      </c>
    </row>
    <row r="446" spans="1:10" ht="13.5">
      <c r="A446" s="543"/>
      <c r="B446" s="579"/>
      <c r="C446" s="541"/>
      <c r="D446" s="543"/>
      <c r="E446" s="541"/>
      <c r="F446" s="543"/>
      <c r="G446" s="541"/>
      <c r="H446" s="541" t="s">
        <v>596</v>
      </c>
      <c r="I446" s="541" t="s">
        <v>516</v>
      </c>
      <c r="J446" s="593">
        <v>463</v>
      </c>
    </row>
    <row r="447" spans="1:10" ht="13.5">
      <c r="A447" s="543"/>
      <c r="B447" s="579"/>
      <c r="C447" s="541"/>
      <c r="D447" s="543"/>
      <c r="E447" s="541"/>
      <c r="F447" s="543"/>
      <c r="G447" s="541"/>
      <c r="H447" s="541" t="s">
        <v>606</v>
      </c>
      <c r="I447" s="541" t="s">
        <v>516</v>
      </c>
      <c r="J447" s="593">
        <v>292</v>
      </c>
    </row>
    <row r="448" spans="1:10" ht="13.5">
      <c r="A448" s="583"/>
      <c r="B448" s="584"/>
      <c r="C448" s="585" t="s">
        <v>541</v>
      </c>
      <c r="D448" s="583"/>
      <c r="E448" s="585"/>
      <c r="F448" s="583"/>
      <c r="G448" s="585">
        <v>290</v>
      </c>
      <c r="H448" s="585"/>
      <c r="I448" s="585"/>
      <c r="J448" s="586">
        <f>SUM(J438:J447)</f>
        <v>13454</v>
      </c>
    </row>
    <row r="449" spans="1:10" ht="13.5">
      <c r="A449" s="543"/>
      <c r="B449" s="579"/>
      <c r="C449" s="541" t="s">
        <v>541</v>
      </c>
      <c r="D449" s="543"/>
      <c r="E449" s="541" t="s">
        <v>517</v>
      </c>
      <c r="F449" s="543"/>
      <c r="G449" s="541">
        <v>300</v>
      </c>
      <c r="H449" s="541" t="s">
        <v>630</v>
      </c>
      <c r="I449" s="541" t="s">
        <v>516</v>
      </c>
      <c r="J449" s="593">
        <v>4866</v>
      </c>
    </row>
    <row r="450" spans="1:10" ht="13.5">
      <c r="A450" s="543"/>
      <c r="B450" s="579"/>
      <c r="C450" s="541"/>
      <c r="D450" s="543"/>
      <c r="E450" s="541"/>
      <c r="F450" s="543"/>
      <c r="G450" s="541"/>
      <c r="H450" s="541" t="s">
        <v>597</v>
      </c>
      <c r="I450" s="541" t="s">
        <v>516</v>
      </c>
      <c r="J450" s="593">
        <v>487</v>
      </c>
    </row>
    <row r="451" spans="1:10" ht="13.5">
      <c r="A451" s="543"/>
      <c r="B451" s="579"/>
      <c r="C451" s="541"/>
      <c r="D451" s="543"/>
      <c r="E451" s="541"/>
      <c r="F451" s="543"/>
      <c r="G451" s="541"/>
      <c r="H451" s="541" t="s">
        <v>590</v>
      </c>
      <c r="I451" s="541" t="s">
        <v>516</v>
      </c>
      <c r="J451" s="593">
        <v>69</v>
      </c>
    </row>
    <row r="452" spans="1:10" ht="13.5">
      <c r="A452" s="543"/>
      <c r="B452" s="579"/>
      <c r="C452" s="541"/>
      <c r="D452" s="543"/>
      <c r="E452" s="541"/>
      <c r="F452" s="543"/>
      <c r="G452" s="541"/>
      <c r="H452" s="541" t="s">
        <v>591</v>
      </c>
      <c r="I452" s="541" t="s">
        <v>516</v>
      </c>
      <c r="J452" s="593">
        <v>682</v>
      </c>
    </row>
    <row r="453" spans="1:10" ht="13.5">
      <c r="A453" s="543"/>
      <c r="B453" s="579"/>
      <c r="C453" s="541"/>
      <c r="D453" s="543"/>
      <c r="E453" s="541"/>
      <c r="F453" s="543"/>
      <c r="G453" s="541"/>
      <c r="H453" s="541" t="s">
        <v>592</v>
      </c>
      <c r="I453" s="541" t="s">
        <v>516</v>
      </c>
      <c r="J453" s="593">
        <v>39</v>
      </c>
    </row>
    <row r="454" spans="1:10" ht="13.5">
      <c r="A454" s="543"/>
      <c r="B454" s="579"/>
      <c r="C454" s="541"/>
      <c r="D454" s="543"/>
      <c r="E454" s="541"/>
      <c r="F454" s="543"/>
      <c r="G454" s="541"/>
      <c r="H454" s="541" t="s">
        <v>593</v>
      </c>
      <c r="I454" s="541" t="s">
        <v>516</v>
      </c>
      <c r="J454" s="593">
        <v>146</v>
      </c>
    </row>
    <row r="455" spans="1:10" ht="13.5">
      <c r="A455" s="543"/>
      <c r="B455" s="579"/>
      <c r="C455" s="541"/>
      <c r="D455" s="543"/>
      <c r="E455" s="541"/>
      <c r="F455" s="543"/>
      <c r="G455" s="541"/>
      <c r="H455" s="541" t="s">
        <v>594</v>
      </c>
      <c r="I455" s="541" t="s">
        <v>516</v>
      </c>
      <c r="J455" s="593">
        <v>49</v>
      </c>
    </row>
    <row r="456" spans="1:10" ht="13.5">
      <c r="A456" s="543"/>
      <c r="B456" s="579"/>
      <c r="C456" s="541"/>
      <c r="D456" s="543"/>
      <c r="E456" s="541"/>
      <c r="F456" s="543"/>
      <c r="G456" s="541"/>
      <c r="H456" s="541" t="s">
        <v>595</v>
      </c>
      <c r="I456" s="541" t="s">
        <v>516</v>
      </c>
      <c r="J456" s="593">
        <v>13</v>
      </c>
    </row>
    <row r="457" spans="1:10" ht="13.5">
      <c r="A457" s="543"/>
      <c r="B457" s="579"/>
      <c r="C457" s="541"/>
      <c r="D457" s="543"/>
      <c r="E457" s="541"/>
      <c r="F457" s="543"/>
      <c r="G457" s="541"/>
      <c r="H457" s="541" t="s">
        <v>596</v>
      </c>
      <c r="I457" s="541" t="s">
        <v>516</v>
      </c>
      <c r="J457" s="593">
        <v>232</v>
      </c>
    </row>
    <row r="458" spans="1:10" ht="13.5">
      <c r="A458" s="543"/>
      <c r="B458" s="579"/>
      <c r="C458" s="541"/>
      <c r="D458" s="543"/>
      <c r="E458" s="541"/>
      <c r="F458" s="543"/>
      <c r="G458" s="541"/>
      <c r="H458" s="541" t="s">
        <v>606</v>
      </c>
      <c r="I458" s="541" t="s">
        <v>516</v>
      </c>
      <c r="J458" s="593">
        <v>146</v>
      </c>
    </row>
    <row r="459" spans="1:10" ht="13.5">
      <c r="A459" s="583"/>
      <c r="B459" s="584"/>
      <c r="C459" s="585" t="s">
        <v>541</v>
      </c>
      <c r="D459" s="583"/>
      <c r="E459" s="585"/>
      <c r="F459" s="583"/>
      <c r="G459" s="585">
        <v>300</v>
      </c>
      <c r="H459" s="585"/>
      <c r="I459" s="585"/>
      <c r="J459" s="586">
        <f>SUM(J449:J458)</f>
        <v>6729</v>
      </c>
    </row>
    <row r="460" spans="1:10" ht="13.5">
      <c r="A460" s="543"/>
      <c r="B460" s="579"/>
      <c r="C460" s="541" t="s">
        <v>541</v>
      </c>
      <c r="D460" s="543"/>
      <c r="E460" s="541" t="s">
        <v>517</v>
      </c>
      <c r="F460" s="543"/>
      <c r="G460" s="541">
        <v>310</v>
      </c>
      <c r="H460" s="541" t="s">
        <v>630</v>
      </c>
      <c r="I460" s="541" t="s">
        <v>516</v>
      </c>
      <c r="J460" s="593">
        <v>4866</v>
      </c>
    </row>
    <row r="461" spans="1:10" ht="13.5">
      <c r="A461" s="543"/>
      <c r="B461" s="579"/>
      <c r="C461" s="541"/>
      <c r="D461" s="543"/>
      <c r="E461" s="541"/>
      <c r="F461" s="543"/>
      <c r="G461" s="541"/>
      <c r="H461" s="541" t="s">
        <v>597</v>
      </c>
      <c r="I461" s="541" t="s">
        <v>516</v>
      </c>
      <c r="J461" s="593">
        <v>487</v>
      </c>
    </row>
    <row r="462" spans="1:10" ht="13.5">
      <c r="A462" s="543"/>
      <c r="B462" s="579"/>
      <c r="C462" s="541"/>
      <c r="D462" s="543"/>
      <c r="E462" s="541"/>
      <c r="F462" s="543"/>
      <c r="G462" s="541"/>
      <c r="H462" s="541" t="s">
        <v>590</v>
      </c>
      <c r="I462" s="541" t="s">
        <v>516</v>
      </c>
      <c r="J462" s="593">
        <v>69</v>
      </c>
    </row>
    <row r="463" spans="1:10" ht="13.5">
      <c r="A463" s="543"/>
      <c r="B463" s="579"/>
      <c r="C463" s="541"/>
      <c r="D463" s="543"/>
      <c r="E463" s="541"/>
      <c r="F463" s="543"/>
      <c r="G463" s="541"/>
      <c r="H463" s="541" t="s">
        <v>591</v>
      </c>
      <c r="I463" s="541" t="s">
        <v>516</v>
      </c>
      <c r="J463" s="593">
        <v>682</v>
      </c>
    </row>
    <row r="464" spans="1:10" ht="13.5">
      <c r="A464" s="543"/>
      <c r="B464" s="579"/>
      <c r="C464" s="541"/>
      <c r="D464" s="543"/>
      <c r="E464" s="541"/>
      <c r="F464" s="543"/>
      <c r="G464" s="541"/>
      <c r="H464" s="541" t="s">
        <v>592</v>
      </c>
      <c r="I464" s="541" t="s">
        <v>516</v>
      </c>
      <c r="J464" s="593">
        <v>39</v>
      </c>
    </row>
    <row r="465" spans="1:10" ht="13.5">
      <c r="A465" s="543"/>
      <c r="B465" s="579"/>
      <c r="C465" s="541"/>
      <c r="D465" s="543"/>
      <c r="E465" s="541"/>
      <c r="F465" s="543"/>
      <c r="G465" s="541"/>
      <c r="H465" s="541" t="s">
        <v>593</v>
      </c>
      <c r="I465" s="541" t="s">
        <v>516</v>
      </c>
      <c r="J465" s="593">
        <v>146</v>
      </c>
    </row>
    <row r="466" spans="1:10" ht="13.5">
      <c r="A466" s="543"/>
      <c r="B466" s="579"/>
      <c r="C466" s="541"/>
      <c r="D466" s="543"/>
      <c r="E466" s="541"/>
      <c r="F466" s="543"/>
      <c r="G466" s="541"/>
      <c r="H466" s="541" t="s">
        <v>594</v>
      </c>
      <c r="I466" s="541" t="s">
        <v>516</v>
      </c>
      <c r="J466" s="593">
        <v>49</v>
      </c>
    </row>
    <row r="467" spans="1:10" ht="13.5">
      <c r="A467" s="543"/>
      <c r="B467" s="579"/>
      <c r="C467" s="541"/>
      <c r="D467" s="543"/>
      <c r="E467" s="541"/>
      <c r="F467" s="543"/>
      <c r="G467" s="541"/>
      <c r="H467" s="541" t="s">
        <v>595</v>
      </c>
      <c r="I467" s="541" t="s">
        <v>516</v>
      </c>
      <c r="J467" s="593">
        <v>13</v>
      </c>
    </row>
    <row r="468" spans="1:10" ht="13.5">
      <c r="A468" s="543"/>
      <c r="B468" s="579"/>
      <c r="C468" s="541"/>
      <c r="D468" s="543"/>
      <c r="E468" s="541"/>
      <c r="F468" s="543"/>
      <c r="G468" s="541"/>
      <c r="H468" s="541" t="s">
        <v>596</v>
      </c>
      <c r="I468" s="541" t="s">
        <v>516</v>
      </c>
      <c r="J468" s="593">
        <v>232</v>
      </c>
    </row>
    <row r="469" spans="1:10" ht="13.5">
      <c r="A469" s="543"/>
      <c r="B469" s="579"/>
      <c r="C469" s="541"/>
      <c r="D469" s="543"/>
      <c r="E469" s="541"/>
      <c r="F469" s="543"/>
      <c r="G469" s="541"/>
      <c r="H469" s="541" t="s">
        <v>606</v>
      </c>
      <c r="I469" s="541" t="s">
        <v>516</v>
      </c>
      <c r="J469" s="593">
        <v>146</v>
      </c>
    </row>
    <row r="470" spans="1:10" ht="13.5">
      <c r="A470" s="583"/>
      <c r="B470" s="584"/>
      <c r="C470" s="585" t="s">
        <v>541</v>
      </c>
      <c r="D470" s="583"/>
      <c r="E470" s="585"/>
      <c r="F470" s="583"/>
      <c r="G470" s="585">
        <v>310</v>
      </c>
      <c r="H470" s="585"/>
      <c r="I470" s="585"/>
      <c r="J470" s="586">
        <f>SUM(J460:J469)</f>
        <v>6729</v>
      </c>
    </row>
    <row r="471" spans="1:10" ht="13.5">
      <c r="A471" s="543"/>
      <c r="B471" s="579"/>
      <c r="C471" s="541" t="s">
        <v>541</v>
      </c>
      <c r="D471" s="543"/>
      <c r="E471" s="541" t="s">
        <v>517</v>
      </c>
      <c r="F471" s="543"/>
      <c r="G471" s="541">
        <v>340</v>
      </c>
      <c r="H471" s="541" t="s">
        <v>630</v>
      </c>
      <c r="I471" s="541" t="s">
        <v>516</v>
      </c>
      <c r="J471" s="593">
        <v>9732</v>
      </c>
    </row>
    <row r="472" spans="1:10" ht="13.5">
      <c r="A472" s="543"/>
      <c r="B472" s="579"/>
      <c r="C472" s="541"/>
      <c r="D472" s="543"/>
      <c r="E472" s="541"/>
      <c r="F472" s="543"/>
      <c r="G472" s="541"/>
      <c r="H472" s="541" t="s">
        <v>597</v>
      </c>
      <c r="I472" s="541" t="s">
        <v>516</v>
      </c>
      <c r="J472" s="593">
        <v>974</v>
      </c>
    </row>
    <row r="473" spans="1:10" ht="13.5">
      <c r="A473" s="543"/>
      <c r="B473" s="579"/>
      <c r="C473" s="541"/>
      <c r="D473" s="543"/>
      <c r="E473" s="541"/>
      <c r="F473" s="543"/>
      <c r="G473" s="541"/>
      <c r="H473" s="541" t="s">
        <v>590</v>
      </c>
      <c r="I473" s="541" t="s">
        <v>516</v>
      </c>
      <c r="J473" s="593">
        <v>137</v>
      </c>
    </row>
    <row r="474" spans="1:10" ht="13.5">
      <c r="A474" s="543"/>
      <c r="B474" s="579"/>
      <c r="C474" s="541"/>
      <c r="D474" s="543"/>
      <c r="E474" s="541"/>
      <c r="F474" s="543"/>
      <c r="G474" s="541"/>
      <c r="H474" s="541" t="s">
        <v>591</v>
      </c>
      <c r="I474" s="541" t="s">
        <v>516</v>
      </c>
      <c r="J474" s="593">
        <v>1363</v>
      </c>
    </row>
    <row r="475" spans="1:10" ht="13.5">
      <c r="A475" s="543"/>
      <c r="B475" s="579"/>
      <c r="C475" s="541"/>
      <c r="D475" s="543"/>
      <c r="E475" s="541"/>
      <c r="F475" s="543"/>
      <c r="G475" s="541"/>
      <c r="H475" s="541" t="s">
        <v>592</v>
      </c>
      <c r="I475" s="541" t="s">
        <v>516</v>
      </c>
      <c r="J475" s="593">
        <v>78</v>
      </c>
    </row>
    <row r="476" spans="1:10" ht="13.5">
      <c r="A476" s="543"/>
      <c r="B476" s="579"/>
      <c r="C476" s="541"/>
      <c r="D476" s="543"/>
      <c r="E476" s="541"/>
      <c r="F476" s="543"/>
      <c r="G476" s="541"/>
      <c r="H476" s="541" t="s">
        <v>593</v>
      </c>
      <c r="I476" s="541" t="s">
        <v>516</v>
      </c>
      <c r="J476" s="593">
        <v>292</v>
      </c>
    </row>
    <row r="477" spans="1:10" ht="13.5">
      <c r="A477" s="543"/>
      <c r="B477" s="579"/>
      <c r="C477" s="541"/>
      <c r="D477" s="543"/>
      <c r="E477" s="541"/>
      <c r="F477" s="543"/>
      <c r="G477" s="541"/>
      <c r="H477" s="541" t="s">
        <v>594</v>
      </c>
      <c r="I477" s="541" t="s">
        <v>516</v>
      </c>
      <c r="J477" s="593">
        <v>98</v>
      </c>
    </row>
    <row r="478" spans="1:10" ht="13.5">
      <c r="A478" s="543"/>
      <c r="B478" s="579"/>
      <c r="C478" s="541"/>
      <c r="D478" s="543"/>
      <c r="E478" s="541"/>
      <c r="F478" s="543"/>
      <c r="G478" s="541"/>
      <c r="H478" s="541" t="s">
        <v>595</v>
      </c>
      <c r="I478" s="541" t="s">
        <v>516</v>
      </c>
      <c r="J478" s="593">
        <v>25</v>
      </c>
    </row>
    <row r="479" spans="1:10" ht="13.5">
      <c r="A479" s="543"/>
      <c r="B479" s="579"/>
      <c r="C479" s="541"/>
      <c r="D479" s="543"/>
      <c r="E479" s="541"/>
      <c r="F479" s="543"/>
      <c r="G479" s="541"/>
      <c r="H479" s="541" t="s">
        <v>596</v>
      </c>
      <c r="I479" s="541" t="s">
        <v>516</v>
      </c>
      <c r="J479" s="593">
        <v>463</v>
      </c>
    </row>
    <row r="480" spans="1:10" ht="13.5">
      <c r="A480" s="543"/>
      <c r="B480" s="579"/>
      <c r="C480" s="541"/>
      <c r="D480" s="543"/>
      <c r="E480" s="541"/>
      <c r="F480" s="543"/>
      <c r="G480" s="541"/>
      <c r="H480" s="541" t="s">
        <v>606</v>
      </c>
      <c r="I480" s="541" t="s">
        <v>516</v>
      </c>
      <c r="J480" s="593">
        <v>292</v>
      </c>
    </row>
    <row r="481" spans="1:10" ht="13.5">
      <c r="A481" s="583"/>
      <c r="B481" s="584"/>
      <c r="C481" s="585" t="s">
        <v>541</v>
      </c>
      <c r="D481" s="583"/>
      <c r="E481" s="585"/>
      <c r="F481" s="583"/>
      <c r="G481" s="585">
        <v>340</v>
      </c>
      <c r="H481" s="585"/>
      <c r="I481" s="585"/>
      <c r="J481" s="586">
        <f>SUM(J471:J480)</f>
        <v>13454</v>
      </c>
    </row>
    <row r="482" spans="1:10" ht="13.5">
      <c r="A482" s="543"/>
      <c r="B482" s="579"/>
      <c r="C482" s="541" t="s">
        <v>541</v>
      </c>
      <c r="D482" s="543"/>
      <c r="E482" s="541" t="s">
        <v>517</v>
      </c>
      <c r="F482" s="543"/>
      <c r="G482" s="541">
        <v>380</v>
      </c>
      <c r="H482" s="541" t="s">
        <v>630</v>
      </c>
      <c r="I482" s="541" t="s">
        <v>516</v>
      </c>
      <c r="J482" s="593">
        <v>4866</v>
      </c>
    </row>
    <row r="483" spans="1:10" ht="13.5">
      <c r="A483" s="543"/>
      <c r="B483" s="579"/>
      <c r="C483" s="541"/>
      <c r="D483" s="543"/>
      <c r="E483" s="541"/>
      <c r="F483" s="543"/>
      <c r="G483" s="541"/>
      <c r="H483" s="541" t="s">
        <v>597</v>
      </c>
      <c r="I483" s="541" t="s">
        <v>516</v>
      </c>
      <c r="J483" s="593">
        <v>487</v>
      </c>
    </row>
    <row r="484" spans="1:10" ht="13.5">
      <c r="A484" s="543"/>
      <c r="B484" s="579"/>
      <c r="C484" s="541"/>
      <c r="D484" s="543"/>
      <c r="E484" s="541"/>
      <c r="F484" s="543"/>
      <c r="G484" s="541"/>
      <c r="H484" s="541" t="s">
        <v>590</v>
      </c>
      <c r="I484" s="541" t="s">
        <v>516</v>
      </c>
      <c r="J484" s="593">
        <v>69</v>
      </c>
    </row>
    <row r="485" spans="1:10" ht="13.5">
      <c r="A485" s="543"/>
      <c r="B485" s="579"/>
      <c r="C485" s="541"/>
      <c r="D485" s="543"/>
      <c r="E485" s="541"/>
      <c r="F485" s="543"/>
      <c r="G485" s="541"/>
      <c r="H485" s="541" t="s">
        <v>591</v>
      </c>
      <c r="I485" s="541" t="s">
        <v>516</v>
      </c>
      <c r="J485" s="593">
        <v>682</v>
      </c>
    </row>
    <row r="486" spans="1:10" ht="13.5">
      <c r="A486" s="543"/>
      <c r="B486" s="579"/>
      <c r="C486" s="541"/>
      <c r="D486" s="543"/>
      <c r="E486" s="541"/>
      <c r="F486" s="543"/>
      <c r="G486" s="541"/>
      <c r="H486" s="541" t="s">
        <v>592</v>
      </c>
      <c r="I486" s="541" t="s">
        <v>516</v>
      </c>
      <c r="J486" s="593">
        <v>39</v>
      </c>
    </row>
    <row r="487" spans="1:10" ht="13.5">
      <c r="A487" s="543"/>
      <c r="B487" s="579"/>
      <c r="C487" s="541"/>
      <c r="D487" s="543"/>
      <c r="E487" s="541"/>
      <c r="F487" s="543"/>
      <c r="G487" s="541"/>
      <c r="H487" s="541" t="s">
        <v>593</v>
      </c>
      <c r="I487" s="541" t="s">
        <v>516</v>
      </c>
      <c r="J487" s="593">
        <v>146</v>
      </c>
    </row>
    <row r="488" spans="1:10" ht="13.5">
      <c r="A488" s="543"/>
      <c r="B488" s="579"/>
      <c r="C488" s="541"/>
      <c r="D488" s="543"/>
      <c r="E488" s="541"/>
      <c r="F488" s="543"/>
      <c r="G488" s="541"/>
      <c r="H488" s="541" t="s">
        <v>594</v>
      </c>
      <c r="I488" s="541" t="s">
        <v>516</v>
      </c>
      <c r="J488" s="593">
        <v>49</v>
      </c>
    </row>
    <row r="489" spans="1:10" ht="13.5">
      <c r="A489" s="543"/>
      <c r="B489" s="579"/>
      <c r="C489" s="541"/>
      <c r="D489" s="543"/>
      <c r="E489" s="541"/>
      <c r="F489" s="543"/>
      <c r="G489" s="541"/>
      <c r="H489" s="541" t="s">
        <v>595</v>
      </c>
      <c r="I489" s="541" t="s">
        <v>516</v>
      </c>
      <c r="J489" s="593">
        <v>13</v>
      </c>
    </row>
    <row r="490" spans="1:10" ht="13.5">
      <c r="A490" s="543"/>
      <c r="B490" s="579"/>
      <c r="C490" s="541"/>
      <c r="D490" s="543"/>
      <c r="E490" s="541"/>
      <c r="F490" s="543"/>
      <c r="G490" s="541"/>
      <c r="H490" s="541" t="s">
        <v>596</v>
      </c>
      <c r="I490" s="541" t="s">
        <v>516</v>
      </c>
      <c r="J490" s="593">
        <v>232</v>
      </c>
    </row>
    <row r="491" spans="1:10" ht="13.5">
      <c r="A491" s="543"/>
      <c r="B491" s="579"/>
      <c r="C491" s="541"/>
      <c r="D491" s="543"/>
      <c r="E491" s="541"/>
      <c r="F491" s="543"/>
      <c r="G491" s="541"/>
      <c r="H491" s="541" t="s">
        <v>606</v>
      </c>
      <c r="I491" s="541" t="s">
        <v>516</v>
      </c>
      <c r="J491" s="593">
        <v>146</v>
      </c>
    </row>
    <row r="492" spans="1:10" ht="13.5">
      <c r="A492" s="583"/>
      <c r="B492" s="584"/>
      <c r="C492" s="585" t="s">
        <v>541</v>
      </c>
      <c r="D492" s="583"/>
      <c r="E492" s="585"/>
      <c r="F492" s="583"/>
      <c r="G492" s="585">
        <v>380</v>
      </c>
      <c r="H492" s="585"/>
      <c r="I492" s="585"/>
      <c r="J492" s="586">
        <f>SUM(J482:J491)</f>
        <v>6729</v>
      </c>
    </row>
    <row r="493" spans="1:10" ht="13.5">
      <c r="A493" s="543"/>
      <c r="B493" s="579"/>
      <c r="C493" s="541" t="s">
        <v>541</v>
      </c>
      <c r="D493" s="543"/>
      <c r="E493" s="541" t="s">
        <v>513</v>
      </c>
      <c r="F493" s="543"/>
      <c r="G493" s="541">
        <v>31</v>
      </c>
      <c r="H493" s="541" t="s">
        <v>630</v>
      </c>
      <c r="I493" s="541" t="s">
        <v>516</v>
      </c>
      <c r="J493" s="593">
        <v>-282228</v>
      </c>
    </row>
    <row r="494" spans="1:10" ht="13.5">
      <c r="A494" s="543"/>
      <c r="B494" s="579"/>
      <c r="C494" s="541"/>
      <c r="D494" s="543"/>
      <c r="E494" s="541"/>
      <c r="F494" s="543"/>
      <c r="G494" s="541"/>
      <c r="H494" s="541" t="s">
        <v>597</v>
      </c>
      <c r="I494" s="541" t="s">
        <v>516</v>
      </c>
      <c r="J494" s="593">
        <v>-28235</v>
      </c>
    </row>
    <row r="495" spans="1:10" ht="13.5">
      <c r="A495" s="543"/>
      <c r="B495" s="579"/>
      <c r="C495" s="541"/>
      <c r="D495" s="543"/>
      <c r="E495" s="541"/>
      <c r="F495" s="543"/>
      <c r="G495" s="541"/>
      <c r="H495" s="541" t="s">
        <v>590</v>
      </c>
      <c r="I495" s="541" t="s">
        <v>516</v>
      </c>
      <c r="J495" s="593">
        <v>-3969</v>
      </c>
    </row>
    <row r="496" spans="1:10" ht="13.5">
      <c r="A496" s="543"/>
      <c r="B496" s="579"/>
      <c r="C496" s="541"/>
      <c r="D496" s="543"/>
      <c r="E496" s="541"/>
      <c r="F496" s="543"/>
      <c r="G496" s="541"/>
      <c r="H496" s="541" t="s">
        <v>591</v>
      </c>
      <c r="I496" s="541" t="s">
        <v>516</v>
      </c>
      <c r="J496" s="593">
        <v>-39526</v>
      </c>
    </row>
    <row r="497" spans="1:10" ht="13.5">
      <c r="A497" s="543"/>
      <c r="B497" s="579"/>
      <c r="C497" s="541"/>
      <c r="D497" s="543"/>
      <c r="E497" s="541"/>
      <c r="F497" s="543"/>
      <c r="G497" s="541"/>
      <c r="H497" s="541" t="s">
        <v>592</v>
      </c>
      <c r="I497" s="541" t="s">
        <v>516</v>
      </c>
      <c r="J497" s="593">
        <v>-2261</v>
      </c>
    </row>
    <row r="498" spans="1:10" ht="13.5">
      <c r="A498" s="543"/>
      <c r="B498" s="579"/>
      <c r="C498" s="541"/>
      <c r="D498" s="543"/>
      <c r="E498" s="541"/>
      <c r="F498" s="543"/>
      <c r="G498" s="541"/>
      <c r="H498" s="541" t="s">
        <v>593</v>
      </c>
      <c r="I498" s="541" t="s">
        <v>516</v>
      </c>
      <c r="J498" s="593">
        <v>-8468</v>
      </c>
    </row>
    <row r="499" spans="1:10" ht="13.5">
      <c r="A499" s="543"/>
      <c r="B499" s="579"/>
      <c r="C499" s="541"/>
      <c r="D499" s="543"/>
      <c r="E499" s="541"/>
      <c r="F499" s="543"/>
      <c r="G499" s="541"/>
      <c r="H499" s="541" t="s">
        <v>594</v>
      </c>
      <c r="I499" s="541" t="s">
        <v>516</v>
      </c>
      <c r="J499" s="593">
        <v>-2833</v>
      </c>
    </row>
    <row r="500" spans="1:10" ht="13.5">
      <c r="A500" s="543"/>
      <c r="B500" s="579"/>
      <c r="C500" s="541"/>
      <c r="D500" s="543"/>
      <c r="E500" s="541"/>
      <c r="F500" s="543"/>
      <c r="G500" s="541"/>
      <c r="H500" s="541" t="s">
        <v>595</v>
      </c>
      <c r="I500" s="541" t="s">
        <v>516</v>
      </c>
      <c r="J500" s="593">
        <v>-722</v>
      </c>
    </row>
    <row r="501" spans="1:10" ht="13.5">
      <c r="A501" s="543"/>
      <c r="B501" s="579"/>
      <c r="C501" s="541"/>
      <c r="D501" s="543"/>
      <c r="E501" s="541"/>
      <c r="F501" s="543"/>
      <c r="G501" s="541"/>
      <c r="H501" s="541" t="s">
        <v>596</v>
      </c>
      <c r="I501" s="541" t="s">
        <v>516</v>
      </c>
      <c r="J501" s="593">
        <v>-13423</v>
      </c>
    </row>
    <row r="502" spans="1:10" ht="13.5">
      <c r="A502" s="543"/>
      <c r="B502" s="579"/>
      <c r="C502" s="541"/>
      <c r="D502" s="543"/>
      <c r="E502" s="541"/>
      <c r="F502" s="543"/>
      <c r="G502" s="541"/>
      <c r="H502" s="541" t="s">
        <v>606</v>
      </c>
      <c r="I502" s="541" t="s">
        <v>516</v>
      </c>
      <c r="J502" s="593">
        <v>-8468</v>
      </c>
    </row>
    <row r="503" spans="1:10" ht="13.5">
      <c r="A503" s="583"/>
      <c r="B503" s="584"/>
      <c r="C503" s="585" t="s">
        <v>541</v>
      </c>
      <c r="D503" s="583"/>
      <c r="E503" s="585"/>
      <c r="F503" s="583"/>
      <c r="G503" s="585">
        <v>31</v>
      </c>
      <c r="H503" s="585"/>
      <c r="I503" s="585"/>
      <c r="J503" s="586">
        <f>SUM(J493:J502)</f>
        <v>-390133</v>
      </c>
    </row>
    <row r="504" spans="1:10" ht="13.5">
      <c r="A504" s="570" t="s">
        <v>634</v>
      </c>
      <c r="B504" s="604"/>
      <c r="C504" s="605"/>
      <c r="D504" s="604"/>
      <c r="E504" s="605"/>
      <c r="F504" s="604"/>
      <c r="G504" s="606"/>
      <c r="H504" s="606"/>
      <c r="I504" s="606"/>
      <c r="J504" s="607">
        <f>SUM(J239+J250+J261+J272+J283+J294+J305+J316+J327+J338+J349+J360+J371+J393+J404+J382+J415+J426+J437+J448+J459+J470+J481+J492+J503)</f>
        <v>0</v>
      </c>
    </row>
    <row r="505" spans="1:10" ht="13.5">
      <c r="A505" s="543"/>
      <c r="B505" s="543"/>
      <c r="C505" s="543"/>
      <c r="D505" s="543"/>
      <c r="E505" s="543"/>
      <c r="F505" s="543"/>
      <c r="G505" s="543"/>
      <c r="H505" s="543"/>
      <c r="I505" s="543"/>
      <c r="J505" s="544"/>
    </row>
    <row r="506" spans="1:10" ht="13.5">
      <c r="A506" s="566">
        <v>246</v>
      </c>
      <c r="B506" s="567">
        <v>41480</v>
      </c>
      <c r="C506" s="566" t="s">
        <v>541</v>
      </c>
      <c r="D506" s="568" t="s">
        <v>635</v>
      </c>
      <c r="E506" s="568" t="s">
        <v>513</v>
      </c>
      <c r="F506" s="543" t="s">
        <v>514</v>
      </c>
      <c r="G506" s="566" t="s">
        <v>540</v>
      </c>
      <c r="H506" s="541" t="s">
        <v>547</v>
      </c>
      <c r="I506" s="541" t="s">
        <v>636</v>
      </c>
      <c r="J506" s="593">
        <v>-30000</v>
      </c>
    </row>
    <row r="507" spans="1:10" ht="13.5">
      <c r="A507" s="568"/>
      <c r="B507" s="567"/>
      <c r="C507" s="568"/>
      <c r="D507" s="568"/>
      <c r="E507" s="568"/>
      <c r="F507" s="543" t="s">
        <v>518</v>
      </c>
      <c r="G507" s="568"/>
      <c r="H507" s="541" t="s">
        <v>551</v>
      </c>
      <c r="I507" s="541" t="s">
        <v>552</v>
      </c>
      <c r="J507" s="593">
        <v>-2815</v>
      </c>
    </row>
    <row r="508" spans="1:10" ht="13.5">
      <c r="A508" s="568"/>
      <c r="B508" s="567"/>
      <c r="C508" s="568"/>
      <c r="D508" s="568"/>
      <c r="E508" s="568"/>
      <c r="F508" s="568"/>
      <c r="G508" s="568"/>
      <c r="H508" s="541" t="s">
        <v>553</v>
      </c>
      <c r="I508" s="541" t="s">
        <v>554</v>
      </c>
      <c r="J508" s="593">
        <v>-68</v>
      </c>
    </row>
    <row r="509" spans="1:10" ht="13.5">
      <c r="A509" s="568"/>
      <c r="B509" s="567"/>
      <c r="C509" s="568"/>
      <c r="D509" s="568"/>
      <c r="E509" s="568"/>
      <c r="F509" s="568"/>
      <c r="G509" s="568"/>
      <c r="H509" s="541" t="s">
        <v>553</v>
      </c>
      <c r="I509" s="541" t="s">
        <v>566</v>
      </c>
      <c r="J509" s="593">
        <v>-96</v>
      </c>
    </row>
    <row r="510" spans="1:10" ht="13.5">
      <c r="A510" s="568"/>
      <c r="B510" s="567"/>
      <c r="C510" s="568"/>
      <c r="D510" s="568"/>
      <c r="E510" s="568"/>
      <c r="F510" s="568"/>
      <c r="G510" s="568"/>
      <c r="H510" s="541" t="s">
        <v>553</v>
      </c>
      <c r="I510" s="541" t="s">
        <v>567</v>
      </c>
      <c r="J510" s="593">
        <v>-1</v>
      </c>
    </row>
    <row r="511" spans="1:10" ht="13.5">
      <c r="A511" s="568"/>
      <c r="B511" s="567"/>
      <c r="C511" s="568"/>
      <c r="D511" s="568"/>
      <c r="E511" s="568"/>
      <c r="F511" s="568"/>
      <c r="G511" s="568"/>
      <c r="H511" s="541" t="s">
        <v>553</v>
      </c>
      <c r="I511" s="541" t="s">
        <v>637</v>
      </c>
      <c r="J511" s="593">
        <v>-25000</v>
      </c>
    </row>
    <row r="512" spans="1:10" ht="13.5">
      <c r="A512" s="568"/>
      <c r="B512" s="567"/>
      <c r="C512" s="568"/>
      <c r="D512" s="568"/>
      <c r="E512" s="568"/>
      <c r="F512" s="568"/>
      <c r="G512" s="568"/>
      <c r="H512" s="541" t="s">
        <v>553</v>
      </c>
      <c r="I512" s="541" t="s">
        <v>638</v>
      </c>
      <c r="J512" s="593">
        <v>-2640</v>
      </c>
    </row>
    <row r="513" spans="1:10" ht="13.5">
      <c r="A513" s="568"/>
      <c r="B513" s="567"/>
      <c r="C513" s="568"/>
      <c r="D513" s="568"/>
      <c r="E513" s="568"/>
      <c r="F513" s="568"/>
      <c r="G513" s="568"/>
      <c r="H513" s="541" t="s">
        <v>557</v>
      </c>
      <c r="I513" s="541" t="s">
        <v>569</v>
      </c>
      <c r="J513" s="593">
        <v>-6</v>
      </c>
    </row>
    <row r="514" spans="1:10" ht="13.5">
      <c r="A514" s="568"/>
      <c r="B514" s="567"/>
      <c r="C514" s="568"/>
      <c r="D514" s="568"/>
      <c r="E514" s="568"/>
      <c r="F514" s="568"/>
      <c r="G514" s="568"/>
      <c r="H514" s="541" t="s">
        <v>557</v>
      </c>
      <c r="I514" s="541" t="s">
        <v>573</v>
      </c>
      <c r="J514" s="593">
        <v>-7000</v>
      </c>
    </row>
    <row r="515" spans="1:10" ht="13.5">
      <c r="A515" s="568"/>
      <c r="B515" s="567"/>
      <c r="C515" s="568"/>
      <c r="D515" s="568"/>
      <c r="E515" s="568"/>
      <c r="F515" s="568"/>
      <c r="G515" s="568"/>
      <c r="H515" s="541" t="s">
        <v>557</v>
      </c>
      <c r="I515" s="541" t="s">
        <v>576</v>
      </c>
      <c r="J515" s="593">
        <v>-107</v>
      </c>
    </row>
    <row r="516" spans="1:10" ht="13.5">
      <c r="A516" s="568"/>
      <c r="B516" s="567"/>
      <c r="C516" s="568"/>
      <c r="D516" s="568"/>
      <c r="E516" s="568"/>
      <c r="F516" s="568"/>
      <c r="G516" s="568"/>
      <c r="H516" s="541" t="s">
        <v>560</v>
      </c>
      <c r="I516" s="541" t="s">
        <v>561</v>
      </c>
      <c r="J516" s="593">
        <v>-8000</v>
      </c>
    </row>
    <row r="517" spans="1:10" ht="13.5">
      <c r="A517" s="568"/>
      <c r="B517" s="567"/>
      <c r="C517" s="568"/>
      <c r="D517" s="568"/>
      <c r="E517" s="568"/>
      <c r="F517" s="568"/>
      <c r="G517" s="568"/>
      <c r="H517" s="541" t="s">
        <v>560</v>
      </c>
      <c r="I517" s="541" t="s">
        <v>639</v>
      </c>
      <c r="J517" s="593">
        <v>-1000</v>
      </c>
    </row>
    <row r="518" spans="1:10" ht="13.5">
      <c r="A518" s="568"/>
      <c r="B518" s="567"/>
      <c r="C518" s="568"/>
      <c r="D518" s="568"/>
      <c r="E518" s="568"/>
      <c r="F518" s="568"/>
      <c r="G518" s="568"/>
      <c r="H518" s="541" t="s">
        <v>560</v>
      </c>
      <c r="I518" s="541" t="s">
        <v>562</v>
      </c>
      <c r="J518" s="593">
        <v>-63451</v>
      </c>
    </row>
    <row r="519" spans="1:10" s="611" customFormat="1" ht="13.5">
      <c r="A519" s="608"/>
      <c r="B519" s="609"/>
      <c r="C519" s="608">
        <v>132</v>
      </c>
      <c r="D519" s="608"/>
      <c r="E519" s="608"/>
      <c r="F519" s="608"/>
      <c r="G519" s="608">
        <v>35</v>
      </c>
      <c r="H519" s="554"/>
      <c r="I519" s="554"/>
      <c r="J519" s="610">
        <f>SUM(J506:J518)</f>
        <v>-140184</v>
      </c>
    </row>
    <row r="520" spans="1:10" ht="13.5">
      <c r="A520" s="568"/>
      <c r="B520" s="567"/>
      <c r="C520" s="568"/>
      <c r="D520" s="568"/>
      <c r="E520" s="568"/>
      <c r="F520" s="568"/>
      <c r="G520" s="566">
        <v>43</v>
      </c>
      <c r="H520" s="541" t="s">
        <v>640</v>
      </c>
      <c r="I520" s="541" t="s">
        <v>641</v>
      </c>
      <c r="J520" s="593">
        <v>-334205</v>
      </c>
    </row>
    <row r="521" spans="1:10" ht="13.5">
      <c r="A521" s="568"/>
      <c r="B521" s="567"/>
      <c r="C521" s="568"/>
      <c r="D521" s="568"/>
      <c r="E521" s="568"/>
      <c r="F521" s="568"/>
      <c r="G521" s="568"/>
      <c r="H521" s="541" t="s">
        <v>642</v>
      </c>
      <c r="I521" s="541" t="s">
        <v>643</v>
      </c>
      <c r="J521" s="593">
        <v>-144816</v>
      </c>
    </row>
    <row r="522" spans="1:10" ht="13.5">
      <c r="A522" s="568"/>
      <c r="B522" s="567"/>
      <c r="C522" s="568"/>
      <c r="D522" s="568"/>
      <c r="E522" s="568"/>
      <c r="F522" s="568"/>
      <c r="G522" s="568"/>
      <c r="H522" s="541" t="s">
        <v>642</v>
      </c>
      <c r="I522" s="541" t="s">
        <v>644</v>
      </c>
      <c r="J522" s="593">
        <v>-3615</v>
      </c>
    </row>
    <row r="523" spans="1:10" ht="13.5">
      <c r="A523" s="568"/>
      <c r="B523" s="567"/>
      <c r="C523" s="568"/>
      <c r="D523" s="568"/>
      <c r="E523" s="568"/>
      <c r="F523" s="568"/>
      <c r="G523" s="568"/>
      <c r="H523" s="541" t="s">
        <v>645</v>
      </c>
      <c r="I523" s="541" t="s">
        <v>641</v>
      </c>
      <c r="J523" s="593">
        <v>-6000</v>
      </c>
    </row>
    <row r="524" spans="1:10" s="611" customFormat="1" ht="13.5">
      <c r="A524" s="612"/>
      <c r="B524" s="613"/>
      <c r="C524" s="608">
        <v>132</v>
      </c>
      <c r="D524" s="612"/>
      <c r="E524" s="612"/>
      <c r="F524" s="612"/>
      <c r="G524" s="608">
        <v>43</v>
      </c>
      <c r="H524" s="554"/>
      <c r="I524" s="554"/>
      <c r="J524" s="610">
        <f>SUM(J520:J523)</f>
        <v>-488636</v>
      </c>
    </row>
    <row r="525" spans="1:10" ht="13.5">
      <c r="A525" s="568"/>
      <c r="B525" s="567"/>
      <c r="C525" s="568"/>
      <c r="D525" s="568"/>
      <c r="E525" s="568" t="s">
        <v>517</v>
      </c>
      <c r="F525" s="568"/>
      <c r="G525" s="566">
        <v>35</v>
      </c>
      <c r="H525" s="541" t="s">
        <v>553</v>
      </c>
      <c r="I525" s="541" t="s">
        <v>646</v>
      </c>
      <c r="J525" s="593">
        <v>972</v>
      </c>
    </row>
    <row r="526" spans="1:10" ht="13.5">
      <c r="A526" s="568"/>
      <c r="B526" s="567"/>
      <c r="C526" s="568"/>
      <c r="D526" s="568"/>
      <c r="E526" s="568"/>
      <c r="F526" s="568"/>
      <c r="G526" s="568"/>
      <c r="H526" s="541" t="s">
        <v>557</v>
      </c>
      <c r="I526" s="541" t="s">
        <v>647</v>
      </c>
      <c r="J526" s="593">
        <v>3600</v>
      </c>
    </row>
    <row r="527" spans="1:10" ht="13.5">
      <c r="A527" s="568"/>
      <c r="B527" s="567"/>
      <c r="C527" s="568"/>
      <c r="D527" s="568"/>
      <c r="E527" s="568"/>
      <c r="F527" s="568"/>
      <c r="G527" s="568"/>
      <c r="H527" s="541" t="s">
        <v>557</v>
      </c>
      <c r="I527" s="541" t="s">
        <v>572</v>
      </c>
      <c r="J527" s="593">
        <v>10000</v>
      </c>
    </row>
    <row r="528" spans="1:10" ht="13.5">
      <c r="A528" s="568"/>
      <c r="B528" s="567"/>
      <c r="C528" s="568"/>
      <c r="D528" s="568"/>
      <c r="E528" s="568"/>
      <c r="F528" s="568"/>
      <c r="G528" s="568"/>
      <c r="H528" s="541" t="s">
        <v>557</v>
      </c>
      <c r="I528" s="541" t="s">
        <v>574</v>
      </c>
      <c r="J528" s="593">
        <v>67</v>
      </c>
    </row>
    <row r="529" spans="1:10" ht="13.5">
      <c r="A529" s="568"/>
      <c r="B529" s="567"/>
      <c r="C529" s="568"/>
      <c r="D529" s="568"/>
      <c r="E529" s="568"/>
      <c r="F529" s="568"/>
      <c r="G529" s="568"/>
      <c r="H529" s="541" t="s">
        <v>557</v>
      </c>
      <c r="I529" s="541" t="s">
        <v>577</v>
      </c>
      <c r="J529" s="593">
        <v>524</v>
      </c>
    </row>
    <row r="530" spans="1:10" ht="13.5">
      <c r="A530" s="568"/>
      <c r="B530" s="567"/>
      <c r="C530" s="568"/>
      <c r="D530" s="568"/>
      <c r="E530" s="568"/>
      <c r="F530" s="568"/>
      <c r="G530" s="568"/>
      <c r="H530" s="541" t="s">
        <v>557</v>
      </c>
      <c r="I530" s="541" t="s">
        <v>648</v>
      </c>
      <c r="J530" s="593">
        <v>3391</v>
      </c>
    </row>
    <row r="531" spans="1:10" ht="13.5">
      <c r="A531" s="568"/>
      <c r="B531" s="567"/>
      <c r="C531" s="568"/>
      <c r="D531" s="568"/>
      <c r="E531" s="568"/>
      <c r="F531" s="568"/>
      <c r="G531" s="568"/>
      <c r="H531" s="541" t="s">
        <v>560</v>
      </c>
      <c r="I531" s="541" t="s">
        <v>649</v>
      </c>
      <c r="J531" s="593">
        <v>1630</v>
      </c>
    </row>
    <row r="532" spans="1:10" ht="13.5">
      <c r="A532" s="568"/>
      <c r="B532" s="567"/>
      <c r="C532" s="608">
        <v>132</v>
      </c>
      <c r="D532" s="608"/>
      <c r="E532" s="608"/>
      <c r="F532" s="608"/>
      <c r="G532" s="608">
        <v>35</v>
      </c>
      <c r="H532" s="554"/>
      <c r="I532" s="554"/>
      <c r="J532" s="610">
        <f>SUM(J525:J531)</f>
        <v>20184</v>
      </c>
    </row>
    <row r="533" spans="1:10" ht="13.5">
      <c r="A533" s="568"/>
      <c r="B533" s="567"/>
      <c r="C533" s="568"/>
      <c r="D533" s="568"/>
      <c r="E533" s="568"/>
      <c r="F533" s="568"/>
      <c r="G533" s="566">
        <v>43</v>
      </c>
      <c r="H533" s="541" t="s">
        <v>640</v>
      </c>
      <c r="I533" s="541" t="s">
        <v>644</v>
      </c>
      <c r="J533" s="593">
        <v>33544</v>
      </c>
    </row>
    <row r="534" spans="1:10" ht="13.5">
      <c r="A534" s="568"/>
      <c r="B534" s="567"/>
      <c r="C534" s="568"/>
      <c r="D534" s="568"/>
      <c r="E534" s="568"/>
      <c r="F534" s="568"/>
      <c r="G534" s="568"/>
      <c r="H534" s="541" t="s">
        <v>642</v>
      </c>
      <c r="I534" s="541" t="s">
        <v>641</v>
      </c>
      <c r="J534" s="593">
        <v>345092</v>
      </c>
    </row>
    <row r="535" spans="1:10" ht="13.5">
      <c r="A535" s="568"/>
      <c r="B535" s="567"/>
      <c r="C535" s="568"/>
      <c r="D535" s="568"/>
      <c r="E535" s="568"/>
      <c r="F535" s="568"/>
      <c r="G535" s="568"/>
      <c r="H535" s="541" t="s">
        <v>650</v>
      </c>
      <c r="I535" s="541" t="s">
        <v>516</v>
      </c>
      <c r="J535" s="593">
        <v>230000</v>
      </c>
    </row>
    <row r="536" spans="1:10" ht="13.5">
      <c r="A536" s="612"/>
      <c r="B536" s="613"/>
      <c r="C536" s="608">
        <v>132</v>
      </c>
      <c r="D536" s="608"/>
      <c r="E536" s="608"/>
      <c r="F536" s="608"/>
      <c r="G536" s="608">
        <v>43</v>
      </c>
      <c r="H536" s="612"/>
      <c r="I536" s="608"/>
      <c r="J536" s="614">
        <f>SUM(J533:J535)</f>
        <v>608636</v>
      </c>
    </row>
    <row r="537" spans="1:10" ht="13.5">
      <c r="A537" s="568"/>
      <c r="B537" s="567"/>
      <c r="C537" s="568"/>
      <c r="D537" s="568"/>
      <c r="E537" s="568"/>
      <c r="F537" s="568"/>
      <c r="G537" s="568"/>
      <c r="H537" s="615"/>
      <c r="I537" s="616"/>
      <c r="J537" s="617"/>
    </row>
    <row r="538" spans="1:10" ht="13.5">
      <c r="A538" s="618"/>
      <c r="B538" s="619"/>
      <c r="C538" s="620">
        <v>132</v>
      </c>
      <c r="D538" s="618"/>
      <c r="E538" s="618"/>
      <c r="F538" s="618"/>
      <c r="G538" s="620">
        <v>35</v>
      </c>
      <c r="H538" s="618"/>
      <c r="I538" s="620"/>
      <c r="J538" s="621">
        <f>SUM(J519+J532)</f>
        <v>-120000</v>
      </c>
    </row>
    <row r="539" spans="1:10" ht="13.5">
      <c r="A539" s="618"/>
      <c r="B539" s="619"/>
      <c r="C539" s="620">
        <v>132</v>
      </c>
      <c r="D539" s="618"/>
      <c r="E539" s="618"/>
      <c r="F539" s="618"/>
      <c r="G539" s="620">
        <v>43</v>
      </c>
      <c r="H539" s="618"/>
      <c r="I539" s="620"/>
      <c r="J539" s="621">
        <f>SUM(J524+J536)</f>
        <v>120000</v>
      </c>
    </row>
    <row r="540" spans="1:10" ht="14.25" thickBot="1">
      <c r="A540" s="580" t="s">
        <v>651</v>
      </c>
      <c r="B540" s="553"/>
      <c r="C540" s="554">
        <v>132</v>
      </c>
      <c r="D540" s="553"/>
      <c r="E540" s="553"/>
      <c r="F540" s="553"/>
      <c r="G540" s="554"/>
      <c r="H540" s="553"/>
      <c r="I540" s="554"/>
      <c r="J540" s="622">
        <f>SUM(J538:J539)</f>
        <v>0</v>
      </c>
    </row>
    <row r="541" spans="1:10" ht="15" thickTop="1">
      <c r="A541" s="623"/>
      <c r="B541" s="623"/>
      <c r="C541" s="623"/>
      <c r="D541" s="623"/>
      <c r="E541" s="623"/>
      <c r="F541" s="623"/>
      <c r="G541" s="623"/>
      <c r="H541" s="623"/>
      <c r="I541" s="623"/>
      <c r="J541" s="623"/>
    </row>
    <row r="542" spans="1:10" ht="13.5">
      <c r="A542" s="624" t="s">
        <v>652</v>
      </c>
      <c r="B542" s="625">
        <v>41492</v>
      </c>
      <c r="C542" s="626" t="s">
        <v>541</v>
      </c>
      <c r="D542" s="624" t="s">
        <v>653</v>
      </c>
      <c r="E542" s="626" t="s">
        <v>513</v>
      </c>
      <c r="F542" s="543" t="s">
        <v>514</v>
      </c>
      <c r="G542" s="626" t="s">
        <v>605</v>
      </c>
      <c r="H542" s="624" t="s">
        <v>654</v>
      </c>
      <c r="I542" s="626" t="s">
        <v>516</v>
      </c>
      <c r="J542" s="627">
        <v>-19775</v>
      </c>
    </row>
    <row r="543" spans="1:10" ht="13.5">
      <c r="A543" s="608"/>
      <c r="B543" s="609"/>
      <c r="C543" s="608">
        <v>132</v>
      </c>
      <c r="D543" s="608"/>
      <c r="E543" s="608"/>
      <c r="F543" s="543" t="s">
        <v>518</v>
      </c>
      <c r="G543" s="608">
        <v>31</v>
      </c>
      <c r="H543" s="554"/>
      <c r="I543" s="554"/>
      <c r="J543" s="610">
        <f>SUM(J542)</f>
        <v>-19775</v>
      </c>
    </row>
    <row r="544" spans="1:10" ht="13.5">
      <c r="A544" s="624"/>
      <c r="B544" s="625"/>
      <c r="C544" s="626" t="s">
        <v>541</v>
      </c>
      <c r="D544" s="624"/>
      <c r="E544" s="626" t="s">
        <v>517</v>
      </c>
      <c r="F544" s="543"/>
      <c r="G544" s="626" t="s">
        <v>609</v>
      </c>
      <c r="H544" s="624" t="s">
        <v>655</v>
      </c>
      <c r="I544" s="626" t="s">
        <v>516</v>
      </c>
      <c r="J544" s="627">
        <v>12275</v>
      </c>
    </row>
    <row r="545" spans="1:10" ht="13.5">
      <c r="A545" s="608"/>
      <c r="B545" s="609"/>
      <c r="C545" s="608">
        <v>132</v>
      </c>
      <c r="D545" s="608"/>
      <c r="E545" s="608"/>
      <c r="F545" s="543"/>
      <c r="G545" s="608">
        <v>270</v>
      </c>
      <c r="H545" s="554"/>
      <c r="I545" s="554"/>
      <c r="J545" s="610">
        <f>SUM(J544)</f>
        <v>12275</v>
      </c>
    </row>
    <row r="546" spans="1:10" ht="13.5">
      <c r="A546" s="624"/>
      <c r="B546" s="625"/>
      <c r="C546" s="626" t="s">
        <v>541</v>
      </c>
      <c r="D546" s="624"/>
      <c r="E546" s="626" t="s">
        <v>517</v>
      </c>
      <c r="F546" s="624"/>
      <c r="G546" s="626" t="s">
        <v>614</v>
      </c>
      <c r="H546" s="624" t="s">
        <v>656</v>
      </c>
      <c r="I546" s="626" t="s">
        <v>516</v>
      </c>
      <c r="J546" s="627">
        <v>5000</v>
      </c>
    </row>
    <row r="547" spans="1:10" ht="13.5">
      <c r="A547" s="608"/>
      <c r="B547" s="609"/>
      <c r="C547" s="608">
        <v>132</v>
      </c>
      <c r="D547" s="608"/>
      <c r="E547" s="608"/>
      <c r="F547" s="543"/>
      <c r="G547" s="608">
        <v>100</v>
      </c>
      <c r="H547" s="554"/>
      <c r="I547" s="554"/>
      <c r="J547" s="610">
        <f>SUM(J546)</f>
        <v>5000</v>
      </c>
    </row>
    <row r="548" spans="1:10" ht="13.5">
      <c r="A548" s="624"/>
      <c r="B548" s="625"/>
      <c r="C548" s="626" t="s">
        <v>541</v>
      </c>
      <c r="D548" s="624"/>
      <c r="E548" s="626" t="s">
        <v>517</v>
      </c>
      <c r="F548" s="624"/>
      <c r="G548" s="626" t="s">
        <v>657</v>
      </c>
      <c r="H548" s="624" t="s">
        <v>655</v>
      </c>
      <c r="I548" s="626" t="s">
        <v>516</v>
      </c>
      <c r="J548" s="627">
        <v>2500</v>
      </c>
    </row>
    <row r="549" spans="1:10" ht="13.5">
      <c r="A549" s="608"/>
      <c r="B549" s="609"/>
      <c r="C549" s="608">
        <v>132</v>
      </c>
      <c r="D549" s="608"/>
      <c r="E549" s="608"/>
      <c r="F549" s="543"/>
      <c r="G549" s="608">
        <v>310</v>
      </c>
      <c r="H549" s="554"/>
      <c r="I549" s="554"/>
      <c r="J549" s="610">
        <f>SUM(J548)</f>
        <v>2500</v>
      </c>
    </row>
    <row r="550" spans="1:10" ht="13.5">
      <c r="A550" s="570" t="s">
        <v>658</v>
      </c>
      <c r="B550" s="546"/>
      <c r="C550" s="547">
        <v>132</v>
      </c>
      <c r="D550" s="546"/>
      <c r="E550" s="546"/>
      <c r="F550" s="546"/>
      <c r="G550" s="547"/>
      <c r="H550" s="546"/>
      <c r="I550" s="547"/>
      <c r="J550" s="581">
        <f>SUM(J543+J545+J547+J549)</f>
        <v>0</v>
      </c>
    </row>
    <row r="551" spans="1:10" ht="12.75">
      <c r="A551" s="598"/>
      <c r="B551" s="598"/>
      <c r="C551" s="598"/>
      <c r="D551" s="598"/>
      <c r="E551" s="598"/>
      <c r="F551" s="598"/>
      <c r="G551" s="598"/>
      <c r="H551" s="598"/>
      <c r="I551" s="598"/>
      <c r="J551" s="598"/>
    </row>
    <row r="552" spans="1:10" ht="13.5">
      <c r="A552" s="624" t="s">
        <v>659</v>
      </c>
      <c r="B552" s="625">
        <v>41498</v>
      </c>
      <c r="C552" s="626" t="s">
        <v>660</v>
      </c>
      <c r="D552" s="624" t="s">
        <v>661</v>
      </c>
      <c r="E552" s="626" t="s">
        <v>513</v>
      </c>
      <c r="F552" s="543" t="s">
        <v>514</v>
      </c>
      <c r="G552" s="626" t="s">
        <v>540</v>
      </c>
      <c r="H552" s="624" t="s">
        <v>655</v>
      </c>
      <c r="I552" s="626" t="s">
        <v>516</v>
      </c>
      <c r="J552" s="627">
        <v>-1000</v>
      </c>
    </row>
    <row r="553" spans="1:10" ht="13.5">
      <c r="A553" s="624"/>
      <c r="B553" s="628"/>
      <c r="C553" s="626" t="s">
        <v>660</v>
      </c>
      <c r="D553" s="624"/>
      <c r="E553" s="626"/>
      <c r="F553" s="543" t="s">
        <v>518</v>
      </c>
      <c r="G553" s="626"/>
      <c r="H553" s="624" t="s">
        <v>662</v>
      </c>
      <c r="I553" s="626" t="s">
        <v>516</v>
      </c>
      <c r="J553" s="627">
        <v>-80</v>
      </c>
    </row>
    <row r="554" spans="1:10" ht="13.5">
      <c r="A554" s="608"/>
      <c r="B554" s="609"/>
      <c r="C554" s="608">
        <v>136</v>
      </c>
      <c r="D554" s="608"/>
      <c r="E554" s="608"/>
      <c r="F554" s="543"/>
      <c r="G554" s="608">
        <v>35</v>
      </c>
      <c r="H554" s="554"/>
      <c r="I554" s="554"/>
      <c r="J554" s="610">
        <f>SUM(J552:J553)</f>
        <v>-1080</v>
      </c>
    </row>
    <row r="555" spans="1:10" ht="13.5">
      <c r="A555" s="624"/>
      <c r="B555" s="628"/>
      <c r="C555" s="626" t="s">
        <v>541</v>
      </c>
      <c r="D555" s="624"/>
      <c r="E555" s="626"/>
      <c r="F555" s="624"/>
      <c r="G555" s="626"/>
      <c r="H555" s="624" t="s">
        <v>530</v>
      </c>
      <c r="I555" s="626" t="s">
        <v>516</v>
      </c>
      <c r="J555" s="627">
        <v>-3000</v>
      </c>
    </row>
    <row r="556" spans="1:10" ht="13.5">
      <c r="A556" s="608"/>
      <c r="B556" s="609"/>
      <c r="C556" s="608">
        <v>132</v>
      </c>
      <c r="D556" s="608"/>
      <c r="E556" s="608"/>
      <c r="F556" s="543"/>
      <c r="G556" s="608">
        <v>35</v>
      </c>
      <c r="H556" s="554"/>
      <c r="I556" s="554"/>
      <c r="J556" s="610">
        <f>SUM(J555)</f>
        <v>-3000</v>
      </c>
    </row>
    <row r="557" spans="1:10" ht="13.5">
      <c r="A557" s="608"/>
      <c r="B557" s="609"/>
      <c r="C557" s="608"/>
      <c r="D557" s="608"/>
      <c r="E557" s="608" t="s">
        <v>513</v>
      </c>
      <c r="F557" s="543"/>
      <c r="G557" s="608">
        <v>35</v>
      </c>
      <c r="H557" s="554"/>
      <c r="I557" s="554"/>
      <c r="J557" s="610">
        <f>SUM(J554+J556)</f>
        <v>-4080</v>
      </c>
    </row>
    <row r="558" spans="1:10" ht="13.5">
      <c r="A558" s="624"/>
      <c r="B558" s="628"/>
      <c r="C558" s="626" t="s">
        <v>660</v>
      </c>
      <c r="D558" s="624"/>
      <c r="E558" s="626" t="s">
        <v>517</v>
      </c>
      <c r="F558" s="624"/>
      <c r="G558" s="626"/>
      <c r="H558" s="624" t="s">
        <v>663</v>
      </c>
      <c r="I558" s="626" t="s">
        <v>516</v>
      </c>
      <c r="J558" s="627">
        <v>1000</v>
      </c>
    </row>
    <row r="559" spans="1:10" ht="13.5">
      <c r="A559" s="624"/>
      <c r="B559" s="628"/>
      <c r="C559" s="626" t="s">
        <v>660</v>
      </c>
      <c r="D559" s="624"/>
      <c r="E559" s="626"/>
      <c r="F559" s="624"/>
      <c r="G559" s="626"/>
      <c r="H559" s="624" t="s">
        <v>542</v>
      </c>
      <c r="I559" s="626" t="s">
        <v>516</v>
      </c>
      <c r="J559" s="627">
        <v>80</v>
      </c>
    </row>
    <row r="560" spans="1:10" ht="13.5">
      <c r="A560" s="608"/>
      <c r="B560" s="609"/>
      <c r="C560" s="608">
        <v>136</v>
      </c>
      <c r="D560" s="608"/>
      <c r="E560" s="608"/>
      <c r="F560" s="543"/>
      <c r="G560" s="608">
        <v>35</v>
      </c>
      <c r="H560" s="554"/>
      <c r="I560" s="554"/>
      <c r="J560" s="610">
        <f>SUM(J558:J559)</f>
        <v>1080</v>
      </c>
    </row>
    <row r="561" spans="1:10" ht="13.5">
      <c r="A561" s="624"/>
      <c r="B561" s="628"/>
      <c r="C561" s="626" t="s">
        <v>541</v>
      </c>
      <c r="D561" s="624"/>
      <c r="E561" s="626" t="s">
        <v>517</v>
      </c>
      <c r="F561" s="624"/>
      <c r="G561" s="626"/>
      <c r="H561" s="624" t="s">
        <v>543</v>
      </c>
      <c r="I561" s="626" t="s">
        <v>516</v>
      </c>
      <c r="J561" s="627">
        <v>2000</v>
      </c>
    </row>
    <row r="562" spans="1:10" ht="13.5">
      <c r="A562" s="624"/>
      <c r="B562" s="628"/>
      <c r="C562" s="626" t="s">
        <v>541</v>
      </c>
      <c r="D562" s="624"/>
      <c r="E562" s="626" t="s">
        <v>517</v>
      </c>
      <c r="F562" s="624"/>
      <c r="G562" s="626"/>
      <c r="H562" s="624" t="s">
        <v>624</v>
      </c>
      <c r="I562" s="626" t="s">
        <v>516</v>
      </c>
      <c r="J562" s="627">
        <v>1000</v>
      </c>
    </row>
    <row r="563" spans="1:10" ht="13.5">
      <c r="A563" s="608"/>
      <c r="B563" s="609"/>
      <c r="C563" s="608">
        <v>132</v>
      </c>
      <c r="D563" s="608"/>
      <c r="E563" s="608"/>
      <c r="F563" s="543"/>
      <c r="G563" s="608">
        <v>35</v>
      </c>
      <c r="H563" s="554"/>
      <c r="I563" s="554"/>
      <c r="J563" s="610">
        <f>SUM(J561:J562)</f>
        <v>3000</v>
      </c>
    </row>
    <row r="564" spans="1:10" ht="13.5">
      <c r="A564" s="608"/>
      <c r="B564" s="609"/>
      <c r="C564" s="608"/>
      <c r="D564" s="608"/>
      <c r="E564" s="608" t="s">
        <v>517</v>
      </c>
      <c r="F564" s="543"/>
      <c r="G564" s="608">
        <v>35</v>
      </c>
      <c r="H564" s="554"/>
      <c r="I564" s="554"/>
      <c r="J564" s="610">
        <f>SUM(J560+J563)</f>
        <v>4080</v>
      </c>
    </row>
    <row r="565" spans="1:10" ht="13.5">
      <c r="A565" s="570" t="s">
        <v>664</v>
      </c>
      <c r="B565" s="546"/>
      <c r="C565" s="547"/>
      <c r="D565" s="546"/>
      <c r="E565" s="546"/>
      <c r="F565" s="546"/>
      <c r="G565" s="547"/>
      <c r="H565" s="546"/>
      <c r="I565" s="547"/>
      <c r="J565" s="581">
        <f>SUM(J557+J564)</f>
        <v>0</v>
      </c>
    </row>
    <row r="566" spans="1:10" ht="12.75">
      <c r="A566" s="598"/>
      <c r="B566" s="598"/>
      <c r="C566" s="598"/>
      <c r="D566" s="598"/>
      <c r="E566" s="598"/>
      <c r="F566" s="598"/>
      <c r="G566" s="598"/>
      <c r="H566" s="598"/>
      <c r="I566" s="598"/>
      <c r="J566" s="598"/>
    </row>
    <row r="567" spans="1:10" ht="13.5">
      <c r="A567" s="629" t="s">
        <v>665</v>
      </c>
      <c r="B567" s="630">
        <v>41514</v>
      </c>
      <c r="C567" s="631" t="s">
        <v>541</v>
      </c>
      <c r="D567" s="629" t="s">
        <v>666</v>
      </c>
      <c r="E567" s="631" t="s">
        <v>513</v>
      </c>
      <c r="F567" s="543" t="s">
        <v>514</v>
      </c>
      <c r="G567" s="631" t="s">
        <v>667</v>
      </c>
      <c r="H567" s="629" t="s">
        <v>603</v>
      </c>
      <c r="I567" s="631" t="s">
        <v>516</v>
      </c>
      <c r="J567" s="632">
        <v>-2000</v>
      </c>
    </row>
    <row r="568" spans="1:10" s="549" customFormat="1" ht="13.5">
      <c r="A568" s="633"/>
      <c r="B568" s="634"/>
      <c r="C568" s="633"/>
      <c r="D568" s="633"/>
      <c r="E568" s="635"/>
      <c r="F568" s="543" t="s">
        <v>518</v>
      </c>
      <c r="G568" s="635" t="s">
        <v>667</v>
      </c>
      <c r="H568" s="633"/>
      <c r="I568" s="635"/>
      <c r="J568" s="636">
        <v>-2000</v>
      </c>
    </row>
    <row r="569" spans="1:10" ht="13.5">
      <c r="A569" s="629"/>
      <c r="B569" s="637"/>
      <c r="C569" s="629"/>
      <c r="D569" s="629"/>
      <c r="E569" s="631" t="s">
        <v>513</v>
      </c>
      <c r="F569" s="629"/>
      <c r="G569" s="631" t="s">
        <v>668</v>
      </c>
      <c r="H569" s="629" t="s">
        <v>603</v>
      </c>
      <c r="I569" s="631" t="s">
        <v>516</v>
      </c>
      <c r="J569" s="632">
        <v>-2000</v>
      </c>
    </row>
    <row r="570" spans="1:10" s="549" customFormat="1" ht="13.5">
      <c r="A570" s="633"/>
      <c r="B570" s="634"/>
      <c r="C570" s="633"/>
      <c r="D570" s="633"/>
      <c r="E570" s="635"/>
      <c r="F570" s="633"/>
      <c r="G570" s="635" t="s">
        <v>668</v>
      </c>
      <c r="H570" s="633"/>
      <c r="I570" s="635"/>
      <c r="J570" s="636">
        <v>-2000</v>
      </c>
    </row>
    <row r="571" spans="1:10" ht="13.5">
      <c r="A571" s="629"/>
      <c r="B571" s="637"/>
      <c r="C571" s="629"/>
      <c r="D571" s="629"/>
      <c r="E571" s="631" t="s">
        <v>513</v>
      </c>
      <c r="F571" s="629"/>
      <c r="G571" s="631" t="s">
        <v>616</v>
      </c>
      <c r="H571" s="629" t="s">
        <v>603</v>
      </c>
      <c r="I571" s="631" t="s">
        <v>516</v>
      </c>
      <c r="J571" s="632">
        <v>-2000</v>
      </c>
    </row>
    <row r="572" spans="1:10" s="549" customFormat="1" ht="13.5">
      <c r="A572" s="633"/>
      <c r="B572" s="634"/>
      <c r="C572" s="633"/>
      <c r="D572" s="633"/>
      <c r="E572" s="635"/>
      <c r="F572" s="633"/>
      <c r="G572" s="635" t="s">
        <v>616</v>
      </c>
      <c r="H572" s="633"/>
      <c r="I572" s="635"/>
      <c r="J572" s="636">
        <v>-2000</v>
      </c>
    </row>
    <row r="573" spans="1:10" ht="13.5">
      <c r="A573" s="608"/>
      <c r="B573" s="609"/>
      <c r="C573" s="608">
        <v>132</v>
      </c>
      <c r="D573" s="608"/>
      <c r="E573" s="608" t="s">
        <v>513</v>
      </c>
      <c r="F573" s="543"/>
      <c r="G573" s="608"/>
      <c r="H573" s="554"/>
      <c r="I573" s="554"/>
      <c r="J573" s="610">
        <f>SUM(J568+J570+J572)</f>
        <v>-6000</v>
      </c>
    </row>
    <row r="574" spans="1:10" ht="13.5">
      <c r="A574" s="629"/>
      <c r="B574" s="637"/>
      <c r="C574" s="631" t="s">
        <v>541</v>
      </c>
      <c r="D574" s="629"/>
      <c r="E574" s="631" t="s">
        <v>517</v>
      </c>
      <c r="F574" s="629"/>
      <c r="G574" s="631" t="s">
        <v>669</v>
      </c>
      <c r="H574" s="629" t="s">
        <v>603</v>
      </c>
      <c r="I574" s="631" t="s">
        <v>516</v>
      </c>
      <c r="J574" s="632">
        <v>2000</v>
      </c>
    </row>
    <row r="575" spans="1:10" s="549" customFormat="1" ht="13.5">
      <c r="A575" s="633"/>
      <c r="B575" s="634"/>
      <c r="C575" s="633"/>
      <c r="D575" s="633"/>
      <c r="E575" s="635"/>
      <c r="F575" s="633"/>
      <c r="G575" s="635" t="s">
        <v>669</v>
      </c>
      <c r="H575" s="633"/>
      <c r="I575" s="635"/>
      <c r="J575" s="636">
        <v>2000</v>
      </c>
    </row>
    <row r="576" spans="1:10" ht="13.5">
      <c r="A576" s="629"/>
      <c r="B576" s="637"/>
      <c r="C576" s="629"/>
      <c r="D576" s="629"/>
      <c r="E576" s="631" t="s">
        <v>517</v>
      </c>
      <c r="F576" s="629"/>
      <c r="G576" s="631" t="s">
        <v>670</v>
      </c>
      <c r="H576" s="629" t="s">
        <v>603</v>
      </c>
      <c r="I576" s="631" t="s">
        <v>516</v>
      </c>
      <c r="J576" s="632">
        <v>4000</v>
      </c>
    </row>
    <row r="577" spans="1:10" s="549" customFormat="1" ht="13.5">
      <c r="A577" s="633"/>
      <c r="B577" s="634"/>
      <c r="C577" s="633"/>
      <c r="D577" s="633"/>
      <c r="E577" s="635"/>
      <c r="F577" s="633"/>
      <c r="G577" s="635" t="s">
        <v>670</v>
      </c>
      <c r="H577" s="633"/>
      <c r="I577" s="633"/>
      <c r="J577" s="636">
        <v>4000</v>
      </c>
    </row>
    <row r="578" spans="1:10" ht="13.5">
      <c r="A578" s="608"/>
      <c r="B578" s="609"/>
      <c r="C578" s="608">
        <v>132</v>
      </c>
      <c r="D578" s="608"/>
      <c r="E578" s="608" t="s">
        <v>517</v>
      </c>
      <c r="F578" s="543"/>
      <c r="G578" s="608"/>
      <c r="H578" s="554"/>
      <c r="I578" s="554"/>
      <c r="J578" s="610">
        <f>SUM(J575+J577)</f>
        <v>6000</v>
      </c>
    </row>
    <row r="579" spans="1:10" ht="14.25" thickBot="1">
      <c r="A579" s="571" t="s">
        <v>671</v>
      </c>
      <c r="B579" s="572"/>
      <c r="C579" s="573"/>
      <c r="D579" s="572"/>
      <c r="E579" s="572"/>
      <c r="F579" s="572"/>
      <c r="G579" s="573"/>
      <c r="H579" s="572"/>
      <c r="I579" s="573"/>
      <c r="J579" s="574">
        <f>SUM(J573+J578)</f>
        <v>0</v>
      </c>
    </row>
    <row r="580" spans="1:10" ht="13.5" thickTop="1">
      <c r="A580" s="575"/>
      <c r="B580" s="575"/>
      <c r="C580" s="575"/>
      <c r="D580" s="575"/>
      <c r="E580" s="575"/>
      <c r="F580" s="575"/>
      <c r="G580" s="575"/>
      <c r="H580" s="575"/>
      <c r="I580" s="575"/>
      <c r="J580" s="575"/>
    </row>
    <row r="581" spans="1:10" ht="13.5">
      <c r="A581" s="638" t="s">
        <v>672</v>
      </c>
      <c r="B581" s="639">
        <v>41529</v>
      </c>
      <c r="C581" s="640" t="s">
        <v>541</v>
      </c>
      <c r="D581" s="638" t="s">
        <v>673</v>
      </c>
      <c r="E581" s="640" t="s">
        <v>674</v>
      </c>
      <c r="F581" s="543" t="s">
        <v>514</v>
      </c>
      <c r="G581" s="640" t="s">
        <v>675</v>
      </c>
      <c r="H581" s="638" t="s">
        <v>640</v>
      </c>
      <c r="I581" s="640" t="s">
        <v>641</v>
      </c>
      <c r="J581" s="641">
        <v>1475562</v>
      </c>
    </row>
    <row r="582" spans="1:10" ht="13.5">
      <c r="A582" s="638"/>
      <c r="B582" s="642"/>
      <c r="C582" s="638"/>
      <c r="D582" s="638"/>
      <c r="E582" s="638"/>
      <c r="F582" s="543" t="s">
        <v>518</v>
      </c>
      <c r="G582" s="638"/>
      <c r="H582" s="638" t="s">
        <v>642</v>
      </c>
      <c r="I582" s="640" t="s">
        <v>643</v>
      </c>
      <c r="J582" s="641">
        <v>1113062</v>
      </c>
    </row>
    <row r="583" spans="1:10" ht="13.5">
      <c r="A583" s="638"/>
      <c r="B583" s="642"/>
      <c r="C583" s="638"/>
      <c r="D583" s="638"/>
      <c r="E583" s="638"/>
      <c r="F583" s="638"/>
      <c r="G583" s="638"/>
      <c r="H583" s="638" t="s">
        <v>676</v>
      </c>
      <c r="I583" s="640" t="s">
        <v>516</v>
      </c>
      <c r="J583" s="641">
        <v>21000</v>
      </c>
    </row>
    <row r="584" spans="1:10" ht="13.5">
      <c r="A584" s="638"/>
      <c r="B584" s="642"/>
      <c r="C584" s="638"/>
      <c r="D584" s="638"/>
      <c r="E584" s="638"/>
      <c r="F584" s="638"/>
      <c r="G584" s="638"/>
      <c r="H584" s="638" t="s">
        <v>677</v>
      </c>
      <c r="I584" s="640" t="s">
        <v>516</v>
      </c>
      <c r="J584" s="641">
        <v>180000</v>
      </c>
    </row>
    <row r="585" spans="1:10" ht="13.5">
      <c r="A585" s="638"/>
      <c r="B585" s="642"/>
      <c r="C585" s="638"/>
      <c r="D585" s="638"/>
      <c r="E585" s="638"/>
      <c r="F585" s="638"/>
      <c r="G585" s="638"/>
      <c r="H585" s="638" t="s">
        <v>678</v>
      </c>
      <c r="I585" s="640" t="s">
        <v>516</v>
      </c>
      <c r="J585" s="641">
        <v>-8000</v>
      </c>
    </row>
    <row r="586" spans="1:10" ht="13.5">
      <c r="A586" s="638"/>
      <c r="B586" s="642"/>
      <c r="C586" s="638"/>
      <c r="D586" s="638"/>
      <c r="E586" s="638"/>
      <c r="F586" s="638"/>
      <c r="G586" s="638"/>
      <c r="H586" s="638" t="s">
        <v>650</v>
      </c>
      <c r="I586" s="640" t="s">
        <v>516</v>
      </c>
      <c r="J586" s="641">
        <v>3125000</v>
      </c>
    </row>
    <row r="587" spans="1:10" ht="13.5">
      <c r="A587" s="638"/>
      <c r="B587" s="642"/>
      <c r="C587" s="638"/>
      <c r="D587" s="638"/>
      <c r="E587" s="638"/>
      <c r="F587" s="638"/>
      <c r="G587" s="638"/>
      <c r="H587" s="638" t="s">
        <v>679</v>
      </c>
      <c r="I587" s="640" t="s">
        <v>516</v>
      </c>
      <c r="J587" s="641">
        <v>5000</v>
      </c>
    </row>
    <row r="588" spans="1:10" ht="13.5">
      <c r="A588" s="638"/>
      <c r="B588" s="642"/>
      <c r="C588" s="638"/>
      <c r="D588" s="638"/>
      <c r="E588" s="638"/>
      <c r="F588" s="638"/>
      <c r="G588" s="638"/>
      <c r="H588" s="638" t="s">
        <v>603</v>
      </c>
      <c r="I588" s="640" t="s">
        <v>516</v>
      </c>
      <c r="J588" s="641">
        <v>102146</v>
      </c>
    </row>
    <row r="589" spans="1:10" s="587" customFormat="1" ht="13.5">
      <c r="A589" s="643"/>
      <c r="B589" s="644"/>
      <c r="C589" s="645" t="s">
        <v>541</v>
      </c>
      <c r="D589" s="643"/>
      <c r="E589" s="643"/>
      <c r="F589" s="643"/>
      <c r="G589" s="645" t="s">
        <v>675</v>
      </c>
      <c r="H589" s="643"/>
      <c r="I589" s="645"/>
      <c r="J589" s="646">
        <f>SUM(J581:J588)</f>
        <v>6013770</v>
      </c>
    </row>
    <row r="590" spans="1:10" ht="13.5">
      <c r="A590" s="638"/>
      <c r="B590" s="642"/>
      <c r="C590" s="640" t="s">
        <v>680</v>
      </c>
      <c r="D590" s="638"/>
      <c r="E590" s="638"/>
      <c r="F590" s="638"/>
      <c r="G590" s="640" t="s">
        <v>540</v>
      </c>
      <c r="H590" s="638" t="s">
        <v>530</v>
      </c>
      <c r="I590" s="640" t="s">
        <v>516</v>
      </c>
      <c r="J590" s="641">
        <v>1000</v>
      </c>
    </row>
    <row r="591" spans="1:10" ht="13.5">
      <c r="A591" s="638"/>
      <c r="B591" s="642"/>
      <c r="C591" s="638"/>
      <c r="D591" s="638"/>
      <c r="E591" s="638"/>
      <c r="F591" s="638"/>
      <c r="G591" s="638"/>
      <c r="H591" s="638" t="s">
        <v>542</v>
      </c>
      <c r="I591" s="640" t="s">
        <v>516</v>
      </c>
      <c r="J591" s="641">
        <v>1000</v>
      </c>
    </row>
    <row r="592" spans="1:10" ht="13.5">
      <c r="A592" s="638"/>
      <c r="B592" s="642"/>
      <c r="C592" s="638"/>
      <c r="D592" s="638"/>
      <c r="E592" s="638"/>
      <c r="F592" s="638"/>
      <c r="G592" s="638"/>
      <c r="H592" s="638" t="s">
        <v>681</v>
      </c>
      <c r="I592" s="640" t="s">
        <v>516</v>
      </c>
      <c r="J592" s="641">
        <v>1000</v>
      </c>
    </row>
    <row r="593" spans="1:10" ht="13.5">
      <c r="A593" s="638"/>
      <c r="B593" s="642"/>
      <c r="C593" s="638"/>
      <c r="D593" s="638"/>
      <c r="E593" s="638"/>
      <c r="F593" s="638"/>
      <c r="G593" s="638"/>
      <c r="H593" s="638" t="s">
        <v>656</v>
      </c>
      <c r="I593" s="640" t="s">
        <v>516</v>
      </c>
      <c r="J593" s="641">
        <v>600</v>
      </c>
    </row>
    <row r="594" spans="1:10" s="587" customFormat="1" ht="13.5">
      <c r="A594" s="643"/>
      <c r="B594" s="644"/>
      <c r="C594" s="645" t="s">
        <v>680</v>
      </c>
      <c r="D594" s="643"/>
      <c r="E594" s="643"/>
      <c r="F594" s="643"/>
      <c r="G594" s="645" t="s">
        <v>540</v>
      </c>
      <c r="H594" s="643"/>
      <c r="I594" s="645"/>
      <c r="J594" s="646">
        <f>SUM(J590:J593)</f>
        <v>3600</v>
      </c>
    </row>
    <row r="595" spans="1:10" ht="13.5">
      <c r="A595" s="638"/>
      <c r="B595" s="642"/>
      <c r="C595" s="640" t="s">
        <v>660</v>
      </c>
      <c r="D595" s="638"/>
      <c r="E595" s="638"/>
      <c r="F595" s="638"/>
      <c r="G595" s="640" t="s">
        <v>540</v>
      </c>
      <c r="H595" s="638" t="s">
        <v>530</v>
      </c>
      <c r="I595" s="640" t="s">
        <v>516</v>
      </c>
      <c r="J595" s="641">
        <v>3000</v>
      </c>
    </row>
    <row r="596" spans="1:10" ht="13.5">
      <c r="A596" s="638"/>
      <c r="B596" s="642"/>
      <c r="C596" s="638"/>
      <c r="D596" s="638"/>
      <c r="E596" s="638"/>
      <c r="F596" s="638"/>
      <c r="G596" s="638"/>
      <c r="H596" s="638" t="s">
        <v>656</v>
      </c>
      <c r="I596" s="640" t="s">
        <v>516</v>
      </c>
      <c r="J596" s="641">
        <v>600</v>
      </c>
    </row>
    <row r="597" spans="1:10" ht="13.5">
      <c r="A597" s="638"/>
      <c r="B597" s="642"/>
      <c r="C597" s="638"/>
      <c r="D597" s="638"/>
      <c r="E597" s="638"/>
      <c r="F597" s="638"/>
      <c r="G597" s="638"/>
      <c r="H597" s="638" t="s">
        <v>682</v>
      </c>
      <c r="I597" s="640" t="s">
        <v>516</v>
      </c>
      <c r="J597" s="641">
        <v>1000</v>
      </c>
    </row>
    <row r="598" spans="1:10" s="587" customFormat="1" ht="13.5">
      <c r="A598" s="643"/>
      <c r="B598" s="644"/>
      <c r="C598" s="645" t="s">
        <v>660</v>
      </c>
      <c r="D598" s="643"/>
      <c r="E598" s="643"/>
      <c r="F598" s="643"/>
      <c r="G598" s="645" t="s">
        <v>540</v>
      </c>
      <c r="H598" s="643"/>
      <c r="I598" s="645"/>
      <c r="J598" s="646">
        <f>SUM(J595:J597)</f>
        <v>4600</v>
      </c>
    </row>
    <row r="599" spans="1:10" ht="13.5">
      <c r="A599" s="638"/>
      <c r="B599" s="642"/>
      <c r="C599" s="640" t="s">
        <v>538</v>
      </c>
      <c r="D599" s="638"/>
      <c r="E599" s="638"/>
      <c r="F599" s="638"/>
      <c r="G599" s="640" t="s">
        <v>540</v>
      </c>
      <c r="H599" s="638" t="s">
        <v>681</v>
      </c>
      <c r="I599" s="640" t="s">
        <v>516</v>
      </c>
      <c r="J599" s="641">
        <v>4000</v>
      </c>
    </row>
    <row r="600" spans="1:10" ht="13.5">
      <c r="A600" s="638"/>
      <c r="B600" s="642"/>
      <c r="C600" s="638"/>
      <c r="D600" s="638"/>
      <c r="E600" s="638"/>
      <c r="F600" s="638"/>
      <c r="G600" s="638"/>
      <c r="H600" s="638" t="s">
        <v>683</v>
      </c>
      <c r="I600" s="640" t="s">
        <v>516</v>
      </c>
      <c r="J600" s="641">
        <v>6000</v>
      </c>
    </row>
    <row r="601" spans="1:10" s="587" customFormat="1" ht="13.5">
      <c r="A601" s="643"/>
      <c r="B601" s="644"/>
      <c r="C601" s="645" t="s">
        <v>538</v>
      </c>
      <c r="D601" s="643"/>
      <c r="E601" s="643"/>
      <c r="F601" s="643"/>
      <c r="G601" s="645" t="s">
        <v>540</v>
      </c>
      <c r="H601" s="643"/>
      <c r="I601" s="645"/>
      <c r="J601" s="646">
        <f>SUM(J599:J600)</f>
        <v>10000</v>
      </c>
    </row>
    <row r="602" spans="1:10" ht="13.5">
      <c r="A602" s="638"/>
      <c r="B602" s="642"/>
      <c r="C602" s="640" t="s">
        <v>541</v>
      </c>
      <c r="D602" s="638"/>
      <c r="E602" s="638"/>
      <c r="F602" s="638"/>
      <c r="G602" s="640" t="s">
        <v>540</v>
      </c>
      <c r="H602" s="638" t="s">
        <v>551</v>
      </c>
      <c r="I602" s="640" t="s">
        <v>552</v>
      </c>
      <c r="J602" s="641">
        <v>4000</v>
      </c>
    </row>
    <row r="603" spans="1:10" ht="13.5">
      <c r="A603" s="638"/>
      <c r="B603" s="642"/>
      <c r="C603" s="638"/>
      <c r="D603" s="638"/>
      <c r="E603" s="638"/>
      <c r="F603" s="638"/>
      <c r="G603" s="638"/>
      <c r="H603" s="638" t="s">
        <v>557</v>
      </c>
      <c r="I603" s="640" t="s">
        <v>684</v>
      </c>
      <c r="J603" s="641">
        <v>2500</v>
      </c>
    </row>
    <row r="604" spans="1:10" ht="13.5">
      <c r="A604" s="638"/>
      <c r="B604" s="642"/>
      <c r="C604" s="638"/>
      <c r="D604" s="638"/>
      <c r="E604" s="638"/>
      <c r="F604" s="638"/>
      <c r="G604" s="638"/>
      <c r="H604" s="638" t="s">
        <v>560</v>
      </c>
      <c r="I604" s="640" t="s">
        <v>561</v>
      </c>
      <c r="J604" s="641">
        <v>2600</v>
      </c>
    </row>
    <row r="605" spans="1:10" ht="13.5">
      <c r="A605" s="638"/>
      <c r="B605" s="642"/>
      <c r="C605" s="638"/>
      <c r="D605" s="638"/>
      <c r="E605" s="638"/>
      <c r="F605" s="638"/>
      <c r="G605" s="638"/>
      <c r="H605" s="638" t="s">
        <v>530</v>
      </c>
      <c r="I605" s="640" t="s">
        <v>516</v>
      </c>
      <c r="J605" s="641">
        <v>100000</v>
      </c>
    </row>
    <row r="606" spans="1:10" ht="13.5">
      <c r="A606" s="638"/>
      <c r="B606" s="642"/>
      <c r="C606" s="638"/>
      <c r="D606" s="638"/>
      <c r="E606" s="638"/>
      <c r="F606" s="638"/>
      <c r="G606" s="638"/>
      <c r="H606" s="638" t="s">
        <v>656</v>
      </c>
      <c r="I606" s="640" t="s">
        <v>516</v>
      </c>
      <c r="J606" s="641">
        <v>5000</v>
      </c>
    </row>
    <row r="607" spans="1:10" ht="13.5">
      <c r="A607" s="638"/>
      <c r="B607" s="642"/>
      <c r="C607" s="638"/>
      <c r="D607" s="638"/>
      <c r="E607" s="638"/>
      <c r="F607" s="638"/>
      <c r="G607" s="638"/>
      <c r="H607" s="638" t="s">
        <v>584</v>
      </c>
      <c r="I607" s="640" t="s">
        <v>516</v>
      </c>
      <c r="J607" s="641">
        <v>100000</v>
      </c>
    </row>
    <row r="608" spans="1:10" ht="13.5">
      <c r="A608" s="638"/>
      <c r="B608" s="642"/>
      <c r="C608" s="638"/>
      <c r="D608" s="638"/>
      <c r="E608" s="638"/>
      <c r="F608" s="638"/>
      <c r="G608" s="638"/>
      <c r="H608" s="638" t="s">
        <v>685</v>
      </c>
      <c r="I608" s="640" t="s">
        <v>516</v>
      </c>
      <c r="J608" s="641">
        <v>2000</v>
      </c>
    </row>
    <row r="609" spans="1:10" ht="13.5">
      <c r="A609" s="638"/>
      <c r="B609" s="642"/>
      <c r="C609" s="638"/>
      <c r="D609" s="638"/>
      <c r="E609" s="638"/>
      <c r="F609" s="638"/>
      <c r="G609" s="638"/>
      <c r="H609" s="638" t="s">
        <v>686</v>
      </c>
      <c r="I609" s="640" t="s">
        <v>516</v>
      </c>
      <c r="J609" s="641">
        <v>1000</v>
      </c>
    </row>
    <row r="610" spans="1:10" ht="13.5">
      <c r="A610" s="638"/>
      <c r="B610" s="642"/>
      <c r="C610" s="638"/>
      <c r="D610" s="638"/>
      <c r="E610" s="638"/>
      <c r="F610" s="638"/>
      <c r="G610" s="638"/>
      <c r="H610" s="638" t="s">
        <v>687</v>
      </c>
      <c r="I610" s="640" t="s">
        <v>516</v>
      </c>
      <c r="J610" s="641">
        <v>1000</v>
      </c>
    </row>
    <row r="611" spans="1:10" ht="13.5">
      <c r="A611" s="638"/>
      <c r="B611" s="642"/>
      <c r="C611" s="638"/>
      <c r="D611" s="638"/>
      <c r="E611" s="638"/>
      <c r="F611" s="638"/>
      <c r="G611" s="638"/>
      <c r="H611" s="638" t="s">
        <v>535</v>
      </c>
      <c r="I611" s="640" t="s">
        <v>516</v>
      </c>
      <c r="J611" s="641">
        <v>3000</v>
      </c>
    </row>
    <row r="612" spans="1:10" ht="13.5">
      <c r="A612" s="638"/>
      <c r="B612" s="642"/>
      <c r="C612" s="638"/>
      <c r="D612" s="638"/>
      <c r="E612" s="638"/>
      <c r="F612" s="638"/>
      <c r="G612" s="638"/>
      <c r="H612" s="638" t="s">
        <v>688</v>
      </c>
      <c r="I612" s="640" t="s">
        <v>516</v>
      </c>
      <c r="J612" s="641">
        <v>4010</v>
      </c>
    </row>
    <row r="613" spans="1:10" ht="13.5">
      <c r="A613" s="638"/>
      <c r="B613" s="642"/>
      <c r="C613" s="638"/>
      <c r="D613" s="638"/>
      <c r="E613" s="638"/>
      <c r="F613" s="638"/>
      <c r="G613" s="638"/>
      <c r="H613" s="638" t="s">
        <v>682</v>
      </c>
      <c r="I613" s="640" t="s">
        <v>516</v>
      </c>
      <c r="J613" s="641">
        <v>8000</v>
      </c>
    </row>
    <row r="614" spans="1:10" ht="13.5">
      <c r="A614" s="638"/>
      <c r="B614" s="642"/>
      <c r="C614" s="638"/>
      <c r="D614" s="638"/>
      <c r="E614" s="638"/>
      <c r="F614" s="638"/>
      <c r="G614" s="638"/>
      <c r="H614" s="638" t="s">
        <v>663</v>
      </c>
      <c r="I614" s="640" t="s">
        <v>516</v>
      </c>
      <c r="J614" s="641">
        <v>10000</v>
      </c>
    </row>
    <row r="615" spans="1:10" ht="13.5">
      <c r="A615" s="638"/>
      <c r="B615" s="642"/>
      <c r="C615" s="638"/>
      <c r="D615" s="638"/>
      <c r="E615" s="638"/>
      <c r="F615" s="638"/>
      <c r="G615" s="638"/>
      <c r="H615" s="638" t="s">
        <v>689</v>
      </c>
      <c r="I615" s="640" t="s">
        <v>516</v>
      </c>
      <c r="J615" s="641">
        <v>100000</v>
      </c>
    </row>
    <row r="616" spans="1:10" ht="13.5">
      <c r="A616" s="638"/>
      <c r="B616" s="642"/>
      <c r="C616" s="638"/>
      <c r="D616" s="638"/>
      <c r="E616" s="638"/>
      <c r="F616" s="638"/>
      <c r="G616" s="638"/>
      <c r="H616" s="638" t="s">
        <v>662</v>
      </c>
      <c r="I616" s="640" t="s">
        <v>516</v>
      </c>
      <c r="J616" s="641">
        <v>20000</v>
      </c>
    </row>
    <row r="617" spans="1:10" s="587" customFormat="1" ht="13.5">
      <c r="A617" s="643"/>
      <c r="B617" s="644"/>
      <c r="C617" s="645" t="s">
        <v>541</v>
      </c>
      <c r="D617" s="643"/>
      <c r="E617" s="643"/>
      <c r="F617" s="643"/>
      <c r="G617" s="645" t="s">
        <v>540</v>
      </c>
      <c r="H617" s="643"/>
      <c r="I617" s="645"/>
      <c r="J617" s="646">
        <f>SUM(J602:J616)</f>
        <v>363110</v>
      </c>
    </row>
    <row r="618" spans="1:10" ht="13.5">
      <c r="A618" s="638"/>
      <c r="B618" s="642"/>
      <c r="C618" s="640" t="s">
        <v>541</v>
      </c>
      <c r="D618" s="638"/>
      <c r="E618" s="638"/>
      <c r="F618" s="638"/>
      <c r="G618" s="640" t="s">
        <v>605</v>
      </c>
      <c r="H618" s="638" t="s">
        <v>630</v>
      </c>
      <c r="I618" s="640" t="s">
        <v>516</v>
      </c>
      <c r="J618" s="641">
        <v>348000</v>
      </c>
    </row>
    <row r="619" spans="1:10" ht="13.5">
      <c r="A619" s="638"/>
      <c r="B619" s="642"/>
      <c r="C619" s="638"/>
      <c r="D619" s="638"/>
      <c r="E619" s="638"/>
      <c r="F619" s="638"/>
      <c r="G619" s="638"/>
      <c r="H619" s="638" t="s">
        <v>597</v>
      </c>
      <c r="I619" s="640" t="s">
        <v>516</v>
      </c>
      <c r="J619" s="641">
        <v>18616</v>
      </c>
    </row>
    <row r="620" spans="1:10" ht="13.5">
      <c r="A620" s="638"/>
      <c r="B620" s="642"/>
      <c r="C620" s="638"/>
      <c r="D620" s="638"/>
      <c r="E620" s="638"/>
      <c r="F620" s="638"/>
      <c r="G620" s="638"/>
      <c r="H620" s="638" t="s">
        <v>602</v>
      </c>
      <c r="I620" s="640" t="s">
        <v>516</v>
      </c>
      <c r="J620" s="641">
        <v>6564</v>
      </c>
    </row>
    <row r="621" spans="1:10" ht="13.5">
      <c r="A621" s="638"/>
      <c r="B621" s="642"/>
      <c r="C621" s="638"/>
      <c r="D621" s="638"/>
      <c r="E621" s="638"/>
      <c r="F621" s="638"/>
      <c r="G621" s="638"/>
      <c r="H621" s="638" t="s">
        <v>590</v>
      </c>
      <c r="I621" s="640" t="s">
        <v>516</v>
      </c>
      <c r="J621" s="641">
        <v>3525</v>
      </c>
    </row>
    <row r="622" spans="1:10" ht="13.5">
      <c r="A622" s="638"/>
      <c r="B622" s="642"/>
      <c r="C622" s="638"/>
      <c r="D622" s="638"/>
      <c r="E622" s="638"/>
      <c r="F622" s="638"/>
      <c r="G622" s="638"/>
      <c r="H622" s="638" t="s">
        <v>591</v>
      </c>
      <c r="I622" s="640" t="s">
        <v>516</v>
      </c>
      <c r="J622" s="641">
        <v>34741</v>
      </c>
    </row>
    <row r="623" spans="1:10" ht="13.5">
      <c r="A623" s="638"/>
      <c r="B623" s="642"/>
      <c r="C623" s="638"/>
      <c r="D623" s="638"/>
      <c r="E623" s="638"/>
      <c r="F623" s="638"/>
      <c r="G623" s="638"/>
      <c r="H623" s="638" t="s">
        <v>592</v>
      </c>
      <c r="I623" s="640" t="s">
        <v>516</v>
      </c>
      <c r="J623" s="641">
        <v>2012</v>
      </c>
    </row>
    <row r="624" spans="1:10" ht="13.5">
      <c r="A624" s="638"/>
      <c r="B624" s="642"/>
      <c r="C624" s="638"/>
      <c r="D624" s="638"/>
      <c r="E624" s="638"/>
      <c r="F624" s="638"/>
      <c r="G624" s="638"/>
      <c r="H624" s="638" t="s">
        <v>593</v>
      </c>
      <c r="I624" s="640" t="s">
        <v>516</v>
      </c>
      <c r="J624" s="641">
        <v>7299</v>
      </c>
    </row>
    <row r="625" spans="1:10" ht="13.5">
      <c r="A625" s="638"/>
      <c r="B625" s="642"/>
      <c r="C625" s="638"/>
      <c r="D625" s="638"/>
      <c r="E625" s="638"/>
      <c r="F625" s="638"/>
      <c r="G625" s="638"/>
      <c r="H625" s="638" t="s">
        <v>594</v>
      </c>
      <c r="I625" s="640" t="s">
        <v>516</v>
      </c>
      <c r="J625" s="641">
        <v>2390</v>
      </c>
    </row>
    <row r="626" spans="1:10" ht="13.5">
      <c r="A626" s="638"/>
      <c r="B626" s="642"/>
      <c r="C626" s="638"/>
      <c r="D626" s="638"/>
      <c r="E626" s="638"/>
      <c r="F626" s="638"/>
      <c r="G626" s="638"/>
      <c r="H626" s="638" t="s">
        <v>595</v>
      </c>
      <c r="I626" s="640" t="s">
        <v>516</v>
      </c>
      <c r="J626" s="641">
        <v>629</v>
      </c>
    </row>
    <row r="627" spans="1:10" ht="13.5">
      <c r="A627" s="638"/>
      <c r="B627" s="642"/>
      <c r="C627" s="638"/>
      <c r="D627" s="638"/>
      <c r="E627" s="638"/>
      <c r="F627" s="638"/>
      <c r="G627" s="638"/>
      <c r="H627" s="638" t="s">
        <v>596</v>
      </c>
      <c r="I627" s="640" t="s">
        <v>516</v>
      </c>
      <c r="J627" s="641">
        <v>11576</v>
      </c>
    </row>
    <row r="628" spans="1:10" ht="13.5">
      <c r="A628" s="638"/>
      <c r="B628" s="642"/>
      <c r="C628" s="638"/>
      <c r="D628" s="638"/>
      <c r="E628" s="638"/>
      <c r="F628" s="638"/>
      <c r="G628" s="638"/>
      <c r="H628" s="638" t="s">
        <v>606</v>
      </c>
      <c r="I628" s="640" t="s">
        <v>516</v>
      </c>
      <c r="J628" s="641">
        <v>8844</v>
      </c>
    </row>
    <row r="629" spans="1:10" ht="13.5">
      <c r="A629" s="638"/>
      <c r="B629" s="642"/>
      <c r="C629" s="638"/>
      <c r="D629" s="638"/>
      <c r="E629" s="638"/>
      <c r="F629" s="638"/>
      <c r="G629" s="638"/>
      <c r="H629" s="638" t="s">
        <v>523</v>
      </c>
      <c r="I629" s="640" t="s">
        <v>516</v>
      </c>
      <c r="J629" s="641">
        <v>600000</v>
      </c>
    </row>
    <row r="630" spans="1:10" ht="13.5">
      <c r="A630" s="638"/>
      <c r="B630" s="642"/>
      <c r="C630" s="638"/>
      <c r="D630" s="638"/>
      <c r="E630" s="638"/>
      <c r="F630" s="638"/>
      <c r="G630" s="638"/>
      <c r="H630" s="638" t="s">
        <v>690</v>
      </c>
      <c r="I630" s="640" t="s">
        <v>516</v>
      </c>
      <c r="J630" s="641">
        <v>20000</v>
      </c>
    </row>
    <row r="631" spans="1:10" ht="13.5">
      <c r="A631" s="638"/>
      <c r="B631" s="642"/>
      <c r="C631" s="638"/>
      <c r="D631" s="638"/>
      <c r="E631" s="638"/>
      <c r="F631" s="638"/>
      <c r="G631" s="638"/>
      <c r="H631" s="638" t="s">
        <v>691</v>
      </c>
      <c r="I631" s="640" t="s">
        <v>516</v>
      </c>
      <c r="J631" s="641">
        <v>5000</v>
      </c>
    </row>
    <row r="632" spans="1:10" ht="13.5">
      <c r="A632" s="638"/>
      <c r="B632" s="642"/>
      <c r="C632" s="638"/>
      <c r="D632" s="638"/>
      <c r="E632" s="638"/>
      <c r="F632" s="638"/>
      <c r="G632" s="638"/>
      <c r="H632" s="638" t="s">
        <v>692</v>
      </c>
      <c r="I632" s="640" t="s">
        <v>516</v>
      </c>
      <c r="J632" s="641">
        <v>30000</v>
      </c>
    </row>
    <row r="633" spans="1:10" ht="13.5">
      <c r="A633" s="638"/>
      <c r="B633" s="642"/>
      <c r="C633" s="638"/>
      <c r="D633" s="638"/>
      <c r="E633" s="638"/>
      <c r="F633" s="638"/>
      <c r="G633" s="638"/>
      <c r="H633" s="638" t="s">
        <v>693</v>
      </c>
      <c r="I633" s="640" t="s">
        <v>516</v>
      </c>
      <c r="J633" s="641">
        <v>200000</v>
      </c>
    </row>
    <row r="634" spans="1:10" ht="13.5">
      <c r="A634" s="638"/>
      <c r="B634" s="642"/>
      <c r="C634" s="638"/>
      <c r="D634" s="638"/>
      <c r="E634" s="638"/>
      <c r="F634" s="638"/>
      <c r="G634" s="638"/>
      <c r="H634" s="638" t="s">
        <v>519</v>
      </c>
      <c r="I634" s="640" t="s">
        <v>516</v>
      </c>
      <c r="J634" s="641">
        <v>1200</v>
      </c>
    </row>
    <row r="635" spans="1:10" ht="13.5">
      <c r="A635" s="638"/>
      <c r="B635" s="642"/>
      <c r="C635" s="638"/>
      <c r="D635" s="638"/>
      <c r="E635" s="638"/>
      <c r="F635" s="638"/>
      <c r="G635" s="638"/>
      <c r="H635" s="638" t="s">
        <v>694</v>
      </c>
      <c r="I635" s="640" t="s">
        <v>516</v>
      </c>
      <c r="J635" s="641">
        <v>4524</v>
      </c>
    </row>
    <row r="636" spans="1:10" s="587" customFormat="1" ht="13.5">
      <c r="A636" s="643"/>
      <c r="B636" s="644"/>
      <c r="C636" s="645" t="s">
        <v>541</v>
      </c>
      <c r="D636" s="643"/>
      <c r="E636" s="643"/>
      <c r="F636" s="643"/>
      <c r="G636" s="645" t="s">
        <v>605</v>
      </c>
      <c r="H636" s="643"/>
      <c r="I636" s="643"/>
      <c r="J636" s="646">
        <f>SUM(J618:J635)</f>
        <v>1304920</v>
      </c>
    </row>
    <row r="637" spans="1:10" s="652" customFormat="1" ht="13.5">
      <c r="A637" s="647" t="s">
        <v>695</v>
      </c>
      <c r="B637" s="648"/>
      <c r="C637" s="649"/>
      <c r="D637" s="649"/>
      <c r="E637" s="650" t="s">
        <v>674</v>
      </c>
      <c r="F637" s="649"/>
      <c r="G637" s="649" t="s">
        <v>4</v>
      </c>
      <c r="H637" s="649"/>
      <c r="I637" s="649"/>
      <c r="J637" s="651">
        <f>SUM(J636,J617,J601,J598,J594,J589)</f>
        <v>7700000</v>
      </c>
    </row>
    <row r="638" spans="1:10" ht="13.5">
      <c r="A638" s="559"/>
      <c r="B638" s="559"/>
      <c r="C638" s="559"/>
      <c r="D638" s="559"/>
      <c r="E638" s="559"/>
      <c r="F638" s="559"/>
      <c r="G638" s="559"/>
      <c r="H638" s="559"/>
      <c r="I638" s="559"/>
      <c r="J638" s="559"/>
    </row>
    <row r="639" spans="1:10" ht="13.5">
      <c r="A639" s="653">
        <v>362</v>
      </c>
      <c r="B639" s="639">
        <v>41542</v>
      </c>
      <c r="C639" s="640" t="s">
        <v>541</v>
      </c>
      <c r="D639" s="638"/>
      <c r="E639" s="640" t="s">
        <v>517</v>
      </c>
      <c r="F639" s="543" t="s">
        <v>514</v>
      </c>
      <c r="G639" s="640" t="s">
        <v>589</v>
      </c>
      <c r="H639" s="638" t="s">
        <v>620</v>
      </c>
      <c r="I639" s="640" t="s">
        <v>516</v>
      </c>
      <c r="J639" s="641">
        <v>4000</v>
      </c>
    </row>
    <row r="640" spans="1:10" s="587" customFormat="1" ht="13.5">
      <c r="A640" s="643"/>
      <c r="B640" s="644"/>
      <c r="C640" s="645" t="s">
        <v>541</v>
      </c>
      <c r="D640" s="643"/>
      <c r="E640" s="645"/>
      <c r="F640" s="654" t="s">
        <v>518</v>
      </c>
      <c r="G640" s="645" t="s">
        <v>589</v>
      </c>
      <c r="H640" s="643"/>
      <c r="I640" s="645"/>
      <c r="J640" s="646">
        <v>4000</v>
      </c>
    </row>
    <row r="641" spans="1:10" ht="13.5">
      <c r="A641" s="638"/>
      <c r="B641" s="642"/>
      <c r="C641" s="640" t="s">
        <v>541</v>
      </c>
      <c r="D641" s="638"/>
      <c r="E641" s="640" t="s">
        <v>517</v>
      </c>
      <c r="F641" s="638"/>
      <c r="G641" s="640" t="s">
        <v>600</v>
      </c>
      <c r="H641" s="638" t="s">
        <v>655</v>
      </c>
      <c r="I641" s="640" t="s">
        <v>516</v>
      </c>
      <c r="J641" s="641">
        <v>4000</v>
      </c>
    </row>
    <row r="642" spans="1:10" ht="13.5">
      <c r="A642" s="638"/>
      <c r="B642" s="642"/>
      <c r="C642" s="640"/>
      <c r="D642" s="638"/>
      <c r="E642" s="640"/>
      <c r="F642" s="638"/>
      <c r="G642" s="640"/>
      <c r="H642" s="638" t="s">
        <v>531</v>
      </c>
      <c r="I642" s="640" t="s">
        <v>516</v>
      </c>
      <c r="J642" s="641">
        <v>3200</v>
      </c>
    </row>
    <row r="643" spans="1:10" ht="13.5">
      <c r="A643" s="638"/>
      <c r="B643" s="642"/>
      <c r="C643" s="640"/>
      <c r="D643" s="638"/>
      <c r="E643" s="640"/>
      <c r="F643" s="638"/>
      <c r="G643" s="640"/>
      <c r="H643" s="638" t="s">
        <v>620</v>
      </c>
      <c r="I643" s="640" t="s">
        <v>516</v>
      </c>
      <c r="J643" s="641">
        <v>1000</v>
      </c>
    </row>
    <row r="644" spans="1:10" s="588" customFormat="1" ht="13.5">
      <c r="A644" s="643"/>
      <c r="B644" s="644"/>
      <c r="C644" s="645" t="s">
        <v>541</v>
      </c>
      <c r="D644" s="643"/>
      <c r="E644" s="645"/>
      <c r="F644" s="643"/>
      <c r="G644" s="645" t="s">
        <v>600</v>
      </c>
      <c r="H644" s="643"/>
      <c r="I644" s="645"/>
      <c r="J644" s="646">
        <f>SUM(J641:J643)</f>
        <v>8200</v>
      </c>
    </row>
    <row r="645" spans="1:10" ht="13.5">
      <c r="A645" s="638"/>
      <c r="B645" s="642"/>
      <c r="C645" s="640" t="s">
        <v>541</v>
      </c>
      <c r="D645" s="638"/>
      <c r="E645" s="640" t="s">
        <v>517</v>
      </c>
      <c r="F645" s="638"/>
      <c r="G645" s="640" t="s">
        <v>668</v>
      </c>
      <c r="H645" s="638" t="s">
        <v>597</v>
      </c>
      <c r="I645" s="640" t="s">
        <v>516</v>
      </c>
      <c r="J645" s="641">
        <v>400</v>
      </c>
    </row>
    <row r="646" spans="1:10" ht="13.5">
      <c r="A646" s="638"/>
      <c r="B646" s="642"/>
      <c r="C646" s="640"/>
      <c r="D646" s="638"/>
      <c r="E646" s="640"/>
      <c r="F646" s="638"/>
      <c r="G646" s="640"/>
      <c r="H646" s="638" t="s">
        <v>524</v>
      </c>
      <c r="I646" s="640" t="s">
        <v>516</v>
      </c>
      <c r="J646" s="641">
        <v>304</v>
      </c>
    </row>
    <row r="647" spans="1:10" ht="13.5">
      <c r="A647" s="638"/>
      <c r="B647" s="642"/>
      <c r="C647" s="640"/>
      <c r="D647" s="638"/>
      <c r="E647" s="640"/>
      <c r="F647" s="638"/>
      <c r="G647" s="640"/>
      <c r="H647" s="638" t="s">
        <v>525</v>
      </c>
      <c r="I647" s="640" t="s">
        <v>516</v>
      </c>
      <c r="J647" s="641">
        <v>2032</v>
      </c>
    </row>
    <row r="648" spans="1:10" s="588" customFormat="1" ht="13.5">
      <c r="A648" s="643"/>
      <c r="B648" s="644"/>
      <c r="C648" s="645" t="s">
        <v>541</v>
      </c>
      <c r="D648" s="643"/>
      <c r="E648" s="645"/>
      <c r="F648" s="643"/>
      <c r="G648" s="645" t="s">
        <v>668</v>
      </c>
      <c r="H648" s="643"/>
      <c r="I648" s="645"/>
      <c r="J648" s="646">
        <f>SUM(J645:J647)</f>
        <v>2736</v>
      </c>
    </row>
    <row r="649" spans="1:10" ht="13.5">
      <c r="A649" s="638"/>
      <c r="B649" s="642"/>
      <c r="C649" s="640" t="s">
        <v>541</v>
      </c>
      <c r="D649" s="638"/>
      <c r="E649" s="640" t="s">
        <v>517</v>
      </c>
      <c r="F649" s="638"/>
      <c r="G649" s="640" t="s">
        <v>601</v>
      </c>
      <c r="H649" s="638" t="s">
        <v>696</v>
      </c>
      <c r="I649" s="640" t="s">
        <v>516</v>
      </c>
      <c r="J649" s="641">
        <v>25000</v>
      </c>
    </row>
    <row r="650" spans="1:10" s="588" customFormat="1" ht="13.5">
      <c r="A650" s="643"/>
      <c r="B650" s="644"/>
      <c r="C650" s="645" t="s">
        <v>541</v>
      </c>
      <c r="D650" s="643"/>
      <c r="E650" s="645"/>
      <c r="F650" s="643"/>
      <c r="G650" s="645" t="s">
        <v>601</v>
      </c>
      <c r="H650" s="643"/>
      <c r="I650" s="645"/>
      <c r="J650" s="646">
        <f>SUM(J649)</f>
        <v>25000</v>
      </c>
    </row>
    <row r="651" spans="1:10" ht="13.5">
      <c r="A651" s="638"/>
      <c r="B651" s="642"/>
      <c r="C651" s="640" t="s">
        <v>541</v>
      </c>
      <c r="D651" s="638"/>
      <c r="E651" s="640" t="s">
        <v>513</v>
      </c>
      <c r="F651" s="638"/>
      <c r="G651" s="640" t="s">
        <v>605</v>
      </c>
      <c r="H651" s="638" t="s">
        <v>590</v>
      </c>
      <c r="I651" s="640" t="s">
        <v>516</v>
      </c>
      <c r="J651" s="641">
        <v>-62</v>
      </c>
    </row>
    <row r="652" spans="1:10" ht="13.5">
      <c r="A652" s="638"/>
      <c r="B652" s="642"/>
      <c r="C652" s="640" t="s">
        <v>541</v>
      </c>
      <c r="D652" s="638"/>
      <c r="E652" s="640"/>
      <c r="F652" s="638"/>
      <c r="G652" s="640"/>
      <c r="H652" s="638" t="s">
        <v>591</v>
      </c>
      <c r="I652" s="640" t="s">
        <v>516</v>
      </c>
      <c r="J652" s="641">
        <v>-610</v>
      </c>
    </row>
    <row r="653" spans="1:10" ht="13.5">
      <c r="A653" s="638"/>
      <c r="B653" s="642"/>
      <c r="C653" s="640" t="s">
        <v>541</v>
      </c>
      <c r="D653" s="638"/>
      <c r="E653" s="640"/>
      <c r="F653" s="638"/>
      <c r="G653" s="640"/>
      <c r="H653" s="638" t="s">
        <v>592</v>
      </c>
      <c r="I653" s="640" t="s">
        <v>516</v>
      </c>
      <c r="J653" s="641">
        <v>-98</v>
      </c>
    </row>
    <row r="654" spans="1:10" ht="13.5">
      <c r="A654" s="638"/>
      <c r="B654" s="642"/>
      <c r="C654" s="640" t="s">
        <v>541</v>
      </c>
      <c r="D654" s="638"/>
      <c r="E654" s="640"/>
      <c r="F654" s="638"/>
      <c r="G654" s="640"/>
      <c r="H654" s="638" t="s">
        <v>593</v>
      </c>
      <c r="I654" s="640" t="s">
        <v>516</v>
      </c>
      <c r="J654" s="641">
        <v>-131</v>
      </c>
    </row>
    <row r="655" spans="1:10" ht="13.5">
      <c r="A655" s="638"/>
      <c r="B655" s="642"/>
      <c r="C655" s="640" t="s">
        <v>541</v>
      </c>
      <c r="D655" s="638"/>
      <c r="E655" s="640"/>
      <c r="F655" s="638"/>
      <c r="G655" s="640"/>
      <c r="H655" s="638" t="s">
        <v>594</v>
      </c>
      <c r="I655" s="640" t="s">
        <v>516</v>
      </c>
      <c r="J655" s="641">
        <v>-45</v>
      </c>
    </row>
    <row r="656" spans="1:10" ht="13.5">
      <c r="A656" s="638"/>
      <c r="B656" s="642"/>
      <c r="C656" s="640" t="s">
        <v>541</v>
      </c>
      <c r="D656" s="638"/>
      <c r="E656" s="640"/>
      <c r="F656" s="638"/>
      <c r="G656" s="640"/>
      <c r="H656" s="638" t="s">
        <v>595</v>
      </c>
      <c r="I656" s="640" t="s">
        <v>516</v>
      </c>
      <c r="J656" s="641">
        <v>-12</v>
      </c>
    </row>
    <row r="657" spans="1:10" ht="13.5">
      <c r="A657" s="638"/>
      <c r="B657" s="642"/>
      <c r="C657" s="640" t="s">
        <v>541</v>
      </c>
      <c r="D657" s="638"/>
      <c r="E657" s="640"/>
      <c r="F657" s="638"/>
      <c r="G657" s="640"/>
      <c r="H657" s="638" t="s">
        <v>596</v>
      </c>
      <c r="I657" s="640" t="s">
        <v>516</v>
      </c>
      <c r="J657" s="641">
        <v>-207</v>
      </c>
    </row>
    <row r="658" spans="1:10" ht="13.5">
      <c r="A658" s="638"/>
      <c r="B658" s="642"/>
      <c r="C658" s="640" t="s">
        <v>541</v>
      </c>
      <c r="D658" s="638"/>
      <c r="E658" s="640"/>
      <c r="F658" s="638"/>
      <c r="G658" s="640"/>
      <c r="H658" s="638" t="s">
        <v>606</v>
      </c>
      <c r="I658" s="640" t="s">
        <v>516</v>
      </c>
      <c r="J658" s="641">
        <v>-292</v>
      </c>
    </row>
    <row r="659" spans="1:10" ht="13.5">
      <c r="A659" s="638"/>
      <c r="B659" s="642"/>
      <c r="C659" s="640" t="s">
        <v>541</v>
      </c>
      <c r="D659" s="638"/>
      <c r="E659" s="640"/>
      <c r="F659" s="638"/>
      <c r="G659" s="640"/>
      <c r="H659" s="638" t="s">
        <v>597</v>
      </c>
      <c r="I659" s="640" t="s">
        <v>516</v>
      </c>
      <c r="J659" s="641">
        <v>-1623</v>
      </c>
    </row>
    <row r="660" spans="1:10" ht="13.5">
      <c r="A660" s="638"/>
      <c r="B660" s="642"/>
      <c r="C660" s="640" t="s">
        <v>541</v>
      </c>
      <c r="D660" s="638"/>
      <c r="E660" s="640"/>
      <c r="F660" s="638"/>
      <c r="G660" s="640"/>
      <c r="H660" s="638" t="s">
        <v>654</v>
      </c>
      <c r="I660" s="640" t="s">
        <v>516</v>
      </c>
      <c r="J660" s="641">
        <v>-197188</v>
      </c>
    </row>
    <row r="661" spans="1:10" ht="13.5">
      <c r="A661" s="638"/>
      <c r="B661" s="642"/>
      <c r="C661" s="640" t="s">
        <v>541</v>
      </c>
      <c r="D661" s="638"/>
      <c r="E661" s="640"/>
      <c r="F661" s="638"/>
      <c r="G661" s="640"/>
      <c r="H661" s="638" t="s">
        <v>598</v>
      </c>
      <c r="I661" s="640" t="s">
        <v>516</v>
      </c>
      <c r="J661" s="641">
        <v>-5300</v>
      </c>
    </row>
    <row r="662" spans="1:10" ht="13.5">
      <c r="A662" s="638"/>
      <c r="B662" s="642"/>
      <c r="C662" s="640" t="s">
        <v>541</v>
      </c>
      <c r="D662" s="638"/>
      <c r="E662" s="640"/>
      <c r="F662" s="638"/>
      <c r="G662" s="640"/>
      <c r="H662" s="638" t="s">
        <v>599</v>
      </c>
      <c r="I662" s="640" t="s">
        <v>516</v>
      </c>
      <c r="J662" s="641">
        <v>-2574</v>
      </c>
    </row>
    <row r="663" spans="1:10" s="588" customFormat="1" ht="13.5">
      <c r="A663" s="643"/>
      <c r="B663" s="644"/>
      <c r="C663" s="645" t="s">
        <v>541</v>
      </c>
      <c r="D663" s="643"/>
      <c r="E663" s="645"/>
      <c r="F663" s="643"/>
      <c r="G663" s="645" t="s">
        <v>605</v>
      </c>
      <c r="H663" s="643"/>
      <c r="I663" s="645"/>
      <c r="J663" s="646">
        <f>SUM(J651:J662)</f>
        <v>-208142</v>
      </c>
    </row>
    <row r="664" spans="1:10" ht="13.5">
      <c r="A664" s="638"/>
      <c r="B664" s="642"/>
      <c r="C664" s="640" t="s">
        <v>541</v>
      </c>
      <c r="D664" s="638"/>
      <c r="E664" s="640" t="s">
        <v>517</v>
      </c>
      <c r="F664" s="638"/>
      <c r="G664" s="640" t="s">
        <v>697</v>
      </c>
      <c r="H664" s="638" t="s">
        <v>696</v>
      </c>
      <c r="I664" s="640" t="s">
        <v>516</v>
      </c>
      <c r="J664" s="641">
        <v>1900</v>
      </c>
    </row>
    <row r="665" spans="1:10" s="588" customFormat="1" ht="13.5">
      <c r="A665" s="643"/>
      <c r="B665" s="644"/>
      <c r="C665" s="645" t="s">
        <v>541</v>
      </c>
      <c r="D665" s="643"/>
      <c r="E665" s="645"/>
      <c r="F665" s="643"/>
      <c r="G665" s="645" t="s">
        <v>697</v>
      </c>
      <c r="H665" s="643"/>
      <c r="I665" s="645"/>
      <c r="J665" s="646">
        <v>1900</v>
      </c>
    </row>
    <row r="666" spans="1:10" ht="13.5">
      <c r="A666" s="638"/>
      <c r="B666" s="642"/>
      <c r="C666" s="640" t="s">
        <v>541</v>
      </c>
      <c r="D666" s="638"/>
      <c r="E666" s="640" t="s">
        <v>517</v>
      </c>
      <c r="F666" s="638"/>
      <c r="G666" s="640" t="s">
        <v>609</v>
      </c>
      <c r="H666" s="638" t="s">
        <v>592</v>
      </c>
      <c r="I666" s="640" t="s">
        <v>516</v>
      </c>
      <c r="J666" s="641">
        <v>40</v>
      </c>
    </row>
    <row r="667" spans="1:10" ht="13.5">
      <c r="A667" s="638"/>
      <c r="B667" s="642"/>
      <c r="C667" s="640"/>
      <c r="D667" s="638"/>
      <c r="E667" s="640"/>
      <c r="F667" s="638"/>
      <c r="G667" s="640" t="s">
        <v>609</v>
      </c>
      <c r="H667" s="638" t="s">
        <v>597</v>
      </c>
      <c r="I667" s="640" t="s">
        <v>516</v>
      </c>
      <c r="J667" s="641">
        <v>504</v>
      </c>
    </row>
    <row r="668" spans="1:10" ht="13.5">
      <c r="A668" s="638"/>
      <c r="B668" s="642"/>
      <c r="C668" s="640"/>
      <c r="D668" s="638"/>
      <c r="E668" s="640"/>
      <c r="F668" s="638"/>
      <c r="G668" s="640" t="s">
        <v>609</v>
      </c>
      <c r="H668" s="638" t="s">
        <v>598</v>
      </c>
      <c r="I668" s="640" t="s">
        <v>516</v>
      </c>
      <c r="J668" s="641">
        <v>3598</v>
      </c>
    </row>
    <row r="669" spans="1:10" ht="13.5">
      <c r="A669" s="638"/>
      <c r="B669" s="642"/>
      <c r="C669" s="640"/>
      <c r="D669" s="638"/>
      <c r="E669" s="640"/>
      <c r="F669" s="638"/>
      <c r="G669" s="640" t="s">
        <v>609</v>
      </c>
      <c r="H669" s="638" t="s">
        <v>599</v>
      </c>
      <c r="I669" s="640" t="s">
        <v>516</v>
      </c>
      <c r="J669" s="641">
        <v>1439</v>
      </c>
    </row>
    <row r="670" spans="1:10" s="588" customFormat="1" ht="13.5">
      <c r="A670" s="643"/>
      <c r="B670" s="644"/>
      <c r="C670" s="645" t="s">
        <v>541</v>
      </c>
      <c r="D670" s="643"/>
      <c r="E670" s="645"/>
      <c r="F670" s="643"/>
      <c r="G670" s="645" t="s">
        <v>609</v>
      </c>
      <c r="H670" s="643"/>
      <c r="I670" s="645"/>
      <c r="J670" s="646">
        <f>SUM(J666:J669)</f>
        <v>5581</v>
      </c>
    </row>
    <row r="671" spans="1:10" ht="13.5">
      <c r="A671" s="638"/>
      <c r="B671" s="642"/>
      <c r="C671" s="640" t="s">
        <v>541</v>
      </c>
      <c r="D671" s="638"/>
      <c r="E671" s="640" t="s">
        <v>517</v>
      </c>
      <c r="F671" s="638"/>
      <c r="G671" s="640" t="s">
        <v>698</v>
      </c>
      <c r="H671" s="638" t="s">
        <v>620</v>
      </c>
      <c r="I671" s="640" t="s">
        <v>516</v>
      </c>
      <c r="J671" s="641">
        <v>2500</v>
      </c>
    </row>
    <row r="672" spans="1:10" ht="13.5">
      <c r="A672" s="638"/>
      <c r="B672" s="642"/>
      <c r="C672" s="640"/>
      <c r="D672" s="638"/>
      <c r="E672" s="640"/>
      <c r="F672" s="638"/>
      <c r="G672" s="640"/>
      <c r="H672" s="638" t="s">
        <v>592</v>
      </c>
      <c r="I672" s="640" t="s">
        <v>516</v>
      </c>
      <c r="J672" s="641">
        <v>23</v>
      </c>
    </row>
    <row r="673" spans="1:10" ht="13.5">
      <c r="A673" s="638"/>
      <c r="B673" s="642"/>
      <c r="C673" s="640"/>
      <c r="D673" s="638"/>
      <c r="E673" s="640"/>
      <c r="F673" s="638"/>
      <c r="G673" s="640"/>
      <c r="H673" s="638" t="s">
        <v>597</v>
      </c>
      <c r="I673" s="640" t="s">
        <v>516</v>
      </c>
      <c r="J673" s="641">
        <v>284</v>
      </c>
    </row>
    <row r="674" spans="1:10" ht="13.5">
      <c r="A674" s="638"/>
      <c r="B674" s="642"/>
      <c r="C674" s="640"/>
      <c r="D674" s="638"/>
      <c r="E674" s="640"/>
      <c r="F674" s="638"/>
      <c r="G674" s="640"/>
      <c r="H674" s="638" t="s">
        <v>598</v>
      </c>
      <c r="I674" s="640" t="s">
        <v>516</v>
      </c>
      <c r="J674" s="641">
        <v>1702</v>
      </c>
    </row>
    <row r="675" spans="1:10" ht="13.5">
      <c r="A675" s="638"/>
      <c r="B675" s="642"/>
      <c r="C675" s="640"/>
      <c r="D675" s="638"/>
      <c r="E675" s="640"/>
      <c r="F675" s="638"/>
      <c r="G675" s="640"/>
      <c r="H675" s="638" t="s">
        <v>599</v>
      </c>
      <c r="I675" s="640" t="s">
        <v>516</v>
      </c>
      <c r="J675" s="641">
        <v>1135</v>
      </c>
    </row>
    <row r="676" spans="1:10" s="588" customFormat="1" ht="13.5">
      <c r="A676" s="643"/>
      <c r="B676" s="644"/>
      <c r="C676" s="645" t="s">
        <v>541</v>
      </c>
      <c r="D676" s="643"/>
      <c r="E676" s="645"/>
      <c r="F676" s="643"/>
      <c r="G676" s="645" t="s">
        <v>698</v>
      </c>
      <c r="H676" s="643"/>
      <c r="I676" s="645"/>
      <c r="J676" s="646">
        <f>SUM(J671:J675)</f>
        <v>5644</v>
      </c>
    </row>
    <row r="677" spans="1:10" ht="13.5">
      <c r="A677" s="638"/>
      <c r="B677" s="642"/>
      <c r="C677" s="640" t="s">
        <v>541</v>
      </c>
      <c r="D677" s="638"/>
      <c r="E677" s="640" t="s">
        <v>517</v>
      </c>
      <c r="F677" s="638"/>
      <c r="G677" s="640" t="s">
        <v>699</v>
      </c>
      <c r="H677" s="638" t="s">
        <v>700</v>
      </c>
      <c r="I677" s="640" t="s">
        <v>516</v>
      </c>
      <c r="J677" s="641">
        <v>800</v>
      </c>
    </row>
    <row r="678" spans="1:10" ht="13.5">
      <c r="A678" s="638"/>
      <c r="B678" s="642"/>
      <c r="C678" s="640"/>
      <c r="D678" s="638"/>
      <c r="E678" s="640"/>
      <c r="F678" s="638"/>
      <c r="G678" s="640"/>
      <c r="H678" s="638" t="s">
        <v>656</v>
      </c>
      <c r="I678" s="640" t="s">
        <v>516</v>
      </c>
      <c r="J678" s="641">
        <v>4200</v>
      </c>
    </row>
    <row r="679" spans="1:10" ht="13.5">
      <c r="A679" s="638"/>
      <c r="B679" s="642"/>
      <c r="C679" s="640"/>
      <c r="D679" s="638"/>
      <c r="E679" s="640"/>
      <c r="F679" s="638"/>
      <c r="G679" s="640"/>
      <c r="H679" s="638" t="s">
        <v>530</v>
      </c>
      <c r="I679" s="640" t="s">
        <v>516</v>
      </c>
      <c r="J679" s="641">
        <v>6000</v>
      </c>
    </row>
    <row r="680" spans="1:10" ht="13.5">
      <c r="A680" s="638"/>
      <c r="B680" s="642"/>
      <c r="C680" s="640"/>
      <c r="D680" s="638"/>
      <c r="E680" s="640"/>
      <c r="F680" s="638"/>
      <c r="G680" s="640"/>
      <c r="H680" s="638" t="s">
        <v>542</v>
      </c>
      <c r="I680" s="640" t="s">
        <v>516</v>
      </c>
      <c r="J680" s="641">
        <v>2000</v>
      </c>
    </row>
    <row r="681" spans="1:10" ht="13.5">
      <c r="A681" s="638"/>
      <c r="B681" s="642"/>
      <c r="C681" s="640"/>
      <c r="D681" s="638"/>
      <c r="E681" s="640"/>
      <c r="F681" s="638"/>
      <c r="G681" s="640"/>
      <c r="H681" s="638" t="s">
        <v>523</v>
      </c>
      <c r="I681" s="640" t="s">
        <v>516</v>
      </c>
      <c r="J681" s="641">
        <v>2000</v>
      </c>
    </row>
    <row r="682" spans="1:10" ht="13.5">
      <c r="A682" s="638"/>
      <c r="B682" s="642"/>
      <c r="C682" s="640"/>
      <c r="D682" s="638"/>
      <c r="E682" s="640"/>
      <c r="F682" s="638"/>
      <c r="G682" s="640"/>
      <c r="H682" s="638" t="s">
        <v>531</v>
      </c>
      <c r="I682" s="640" t="s">
        <v>516</v>
      </c>
      <c r="J682" s="641">
        <v>6000</v>
      </c>
    </row>
    <row r="683" spans="1:10" ht="13.5">
      <c r="A683" s="638"/>
      <c r="B683" s="642"/>
      <c r="C683" s="640"/>
      <c r="D683" s="638"/>
      <c r="E683" s="640"/>
      <c r="F683" s="638"/>
      <c r="G683" s="640"/>
      <c r="H683" s="638" t="s">
        <v>701</v>
      </c>
      <c r="I683" s="640" t="s">
        <v>516</v>
      </c>
      <c r="J683" s="641">
        <v>1000</v>
      </c>
    </row>
    <row r="684" spans="1:10" s="588" customFormat="1" ht="13.5">
      <c r="A684" s="643"/>
      <c r="B684" s="644"/>
      <c r="C684" s="645" t="s">
        <v>541</v>
      </c>
      <c r="D684" s="643"/>
      <c r="E684" s="645"/>
      <c r="F684" s="643"/>
      <c r="G684" s="645" t="s">
        <v>699</v>
      </c>
      <c r="H684" s="643"/>
      <c r="I684" s="645"/>
      <c r="J684" s="646">
        <f>SUM(J677:J683)</f>
        <v>22000</v>
      </c>
    </row>
    <row r="685" spans="1:10" ht="13.5">
      <c r="A685" s="638"/>
      <c r="B685" s="642"/>
      <c r="C685" s="640" t="s">
        <v>541</v>
      </c>
      <c r="D685" s="638"/>
      <c r="E685" s="640" t="s">
        <v>517</v>
      </c>
      <c r="F685" s="638"/>
      <c r="G685" s="640" t="s">
        <v>611</v>
      </c>
      <c r="H685" s="638" t="s">
        <v>520</v>
      </c>
      <c r="I685" s="640" t="s">
        <v>516</v>
      </c>
      <c r="J685" s="641">
        <v>27468</v>
      </c>
    </row>
    <row r="686" spans="1:10" ht="13.5">
      <c r="A686" s="638"/>
      <c r="B686" s="642"/>
      <c r="C686" s="640"/>
      <c r="D686" s="638"/>
      <c r="E686" s="640"/>
      <c r="F686" s="638"/>
      <c r="G686" s="640"/>
      <c r="H686" s="638" t="s">
        <v>702</v>
      </c>
      <c r="I686" s="640" t="s">
        <v>516</v>
      </c>
      <c r="J686" s="641">
        <v>9000</v>
      </c>
    </row>
    <row r="687" spans="1:10" s="588" customFormat="1" ht="13.5">
      <c r="A687" s="643"/>
      <c r="B687" s="644"/>
      <c r="C687" s="645" t="s">
        <v>541</v>
      </c>
      <c r="D687" s="643"/>
      <c r="E687" s="645"/>
      <c r="F687" s="643"/>
      <c r="G687" s="645" t="s">
        <v>611</v>
      </c>
      <c r="H687" s="643"/>
      <c r="I687" s="645"/>
      <c r="J687" s="646">
        <f>SUM(J685:J686)</f>
        <v>36468</v>
      </c>
    </row>
    <row r="688" spans="1:10" ht="13.5">
      <c r="A688" s="638"/>
      <c r="B688" s="642"/>
      <c r="C688" s="640" t="s">
        <v>541</v>
      </c>
      <c r="D688" s="638"/>
      <c r="E688" s="640" t="s">
        <v>517</v>
      </c>
      <c r="F688" s="638"/>
      <c r="G688" s="640" t="s">
        <v>613</v>
      </c>
      <c r="H688" s="638" t="s">
        <v>700</v>
      </c>
      <c r="I688" s="640" t="s">
        <v>516</v>
      </c>
      <c r="J688" s="641">
        <v>700</v>
      </c>
    </row>
    <row r="689" spans="1:10" ht="13.5">
      <c r="A689" s="638"/>
      <c r="B689" s="642"/>
      <c r="C689" s="640"/>
      <c r="D689" s="638"/>
      <c r="E689" s="640"/>
      <c r="F689" s="638"/>
      <c r="G689" s="640"/>
      <c r="H689" s="638" t="s">
        <v>523</v>
      </c>
      <c r="I689" s="640" t="s">
        <v>516</v>
      </c>
      <c r="J689" s="641">
        <v>4200</v>
      </c>
    </row>
    <row r="690" spans="1:10" ht="13.5">
      <c r="A690" s="638"/>
      <c r="B690" s="642"/>
      <c r="C690" s="640"/>
      <c r="D690" s="638"/>
      <c r="E690" s="640"/>
      <c r="F690" s="638"/>
      <c r="G690" s="640"/>
      <c r="H690" s="638" t="s">
        <v>703</v>
      </c>
      <c r="I690" s="640" t="s">
        <v>516</v>
      </c>
      <c r="J690" s="641">
        <v>500</v>
      </c>
    </row>
    <row r="691" spans="1:10" ht="13.5">
      <c r="A691" s="638"/>
      <c r="B691" s="642"/>
      <c r="C691" s="640"/>
      <c r="D691" s="638"/>
      <c r="E691" s="640"/>
      <c r="F691" s="638"/>
      <c r="G691" s="640"/>
      <c r="H691" s="638" t="s">
        <v>704</v>
      </c>
      <c r="I691" s="640" t="s">
        <v>516</v>
      </c>
      <c r="J691" s="641">
        <v>400</v>
      </c>
    </row>
    <row r="692" spans="1:10" s="588" customFormat="1" ht="13.5">
      <c r="A692" s="643"/>
      <c r="B692" s="644"/>
      <c r="C692" s="645" t="s">
        <v>541</v>
      </c>
      <c r="D692" s="643"/>
      <c r="E692" s="645"/>
      <c r="F692" s="643"/>
      <c r="G692" s="645" t="s">
        <v>613</v>
      </c>
      <c r="H692" s="643"/>
      <c r="I692" s="645"/>
      <c r="J692" s="646">
        <f>SUM(J688:J691)</f>
        <v>5800</v>
      </c>
    </row>
    <row r="693" spans="1:10" ht="13.5">
      <c r="A693" s="638"/>
      <c r="B693" s="642"/>
      <c r="C693" s="640" t="s">
        <v>541</v>
      </c>
      <c r="D693" s="638"/>
      <c r="E693" s="640" t="s">
        <v>517</v>
      </c>
      <c r="F693" s="638"/>
      <c r="G693" s="640" t="s">
        <v>615</v>
      </c>
      <c r="H693" s="638" t="s">
        <v>700</v>
      </c>
      <c r="I693" s="640" t="s">
        <v>516</v>
      </c>
      <c r="J693" s="641">
        <v>2500</v>
      </c>
    </row>
    <row r="694" spans="1:10" ht="13.5">
      <c r="A694" s="638"/>
      <c r="B694" s="642"/>
      <c r="C694" s="640"/>
      <c r="D694" s="638"/>
      <c r="E694" s="640"/>
      <c r="F694" s="638"/>
      <c r="G694" s="640"/>
      <c r="H694" s="638" t="s">
        <v>704</v>
      </c>
      <c r="I694" s="640" t="s">
        <v>516</v>
      </c>
      <c r="J694" s="641">
        <v>800</v>
      </c>
    </row>
    <row r="695" spans="1:10" ht="13.5">
      <c r="A695" s="638"/>
      <c r="B695" s="642"/>
      <c r="C695" s="640"/>
      <c r="D695" s="638"/>
      <c r="E695" s="640"/>
      <c r="F695" s="638"/>
      <c r="G695" s="640"/>
      <c r="H695" s="638" t="s">
        <v>702</v>
      </c>
      <c r="I695" s="640" t="s">
        <v>516</v>
      </c>
      <c r="J695" s="641">
        <v>2300</v>
      </c>
    </row>
    <row r="696" spans="1:10" s="588" customFormat="1" ht="13.5">
      <c r="A696" s="643"/>
      <c r="B696" s="644"/>
      <c r="C696" s="645" t="s">
        <v>541</v>
      </c>
      <c r="D696" s="643"/>
      <c r="E696" s="645"/>
      <c r="F696" s="643"/>
      <c r="G696" s="645" t="s">
        <v>615</v>
      </c>
      <c r="H696" s="643"/>
      <c r="I696" s="645"/>
      <c r="J696" s="646">
        <f>SUM(J693:J695)</f>
        <v>5600</v>
      </c>
    </row>
    <row r="697" spans="1:10" ht="13.5">
      <c r="A697" s="638"/>
      <c r="B697" s="642"/>
      <c r="C697" s="640" t="s">
        <v>541</v>
      </c>
      <c r="D697" s="638"/>
      <c r="E697" s="640" t="s">
        <v>517</v>
      </c>
      <c r="F697" s="638"/>
      <c r="G697" s="640" t="s">
        <v>705</v>
      </c>
      <c r="H697" s="638" t="s">
        <v>584</v>
      </c>
      <c r="I697" s="640" t="s">
        <v>516</v>
      </c>
      <c r="J697" s="641">
        <v>3000</v>
      </c>
    </row>
    <row r="698" spans="1:10" ht="13.5">
      <c r="A698" s="638"/>
      <c r="B698" s="642"/>
      <c r="C698" s="640"/>
      <c r="D698" s="638"/>
      <c r="E698" s="640"/>
      <c r="F698" s="638"/>
      <c r="G698" s="640"/>
      <c r="H698" s="638" t="s">
        <v>656</v>
      </c>
      <c r="I698" s="640" t="s">
        <v>516</v>
      </c>
      <c r="J698" s="641">
        <v>1800</v>
      </c>
    </row>
    <row r="699" spans="1:10" ht="13.5">
      <c r="A699" s="638"/>
      <c r="B699" s="642"/>
      <c r="C699" s="640"/>
      <c r="D699" s="638"/>
      <c r="E699" s="640"/>
      <c r="F699" s="638"/>
      <c r="G699" s="640"/>
      <c r="H699" s="638" t="s">
        <v>531</v>
      </c>
      <c r="I699" s="640" t="s">
        <v>516</v>
      </c>
      <c r="J699" s="641">
        <v>13500</v>
      </c>
    </row>
    <row r="700" spans="1:10" s="588" customFormat="1" ht="13.5">
      <c r="A700" s="643"/>
      <c r="B700" s="644"/>
      <c r="C700" s="645" t="s">
        <v>541</v>
      </c>
      <c r="D700" s="643"/>
      <c r="E700" s="645"/>
      <c r="F700" s="643"/>
      <c r="G700" s="645" t="s">
        <v>705</v>
      </c>
      <c r="H700" s="643"/>
      <c r="I700" s="645"/>
      <c r="J700" s="646">
        <f>SUM(J697:J699)</f>
        <v>18300</v>
      </c>
    </row>
    <row r="701" spans="1:10" ht="13.5">
      <c r="A701" s="638"/>
      <c r="B701" s="642"/>
      <c r="C701" s="640" t="s">
        <v>541</v>
      </c>
      <c r="D701" s="638"/>
      <c r="E701" s="640" t="s">
        <v>517</v>
      </c>
      <c r="F701" s="638"/>
      <c r="G701" s="640" t="s">
        <v>616</v>
      </c>
      <c r="H701" s="638" t="s">
        <v>590</v>
      </c>
      <c r="I701" s="640" t="s">
        <v>516</v>
      </c>
      <c r="J701" s="641">
        <v>62</v>
      </c>
    </row>
    <row r="702" spans="1:10" ht="13.5">
      <c r="A702" s="638"/>
      <c r="B702" s="642"/>
      <c r="C702" s="640"/>
      <c r="D702" s="638"/>
      <c r="E702" s="640"/>
      <c r="F702" s="638"/>
      <c r="G702" s="640"/>
      <c r="H702" s="638" t="s">
        <v>591</v>
      </c>
      <c r="I702" s="640" t="s">
        <v>516</v>
      </c>
      <c r="J702" s="641">
        <v>610</v>
      </c>
    </row>
    <row r="703" spans="1:10" ht="13.5">
      <c r="A703" s="638"/>
      <c r="B703" s="642"/>
      <c r="C703" s="640"/>
      <c r="D703" s="638"/>
      <c r="E703" s="640"/>
      <c r="F703" s="638"/>
      <c r="G703" s="640"/>
      <c r="H703" s="638" t="s">
        <v>592</v>
      </c>
      <c r="I703" s="640" t="s">
        <v>516</v>
      </c>
      <c r="J703" s="641">
        <v>35</v>
      </c>
    </row>
    <row r="704" spans="1:10" ht="13.5">
      <c r="A704" s="638"/>
      <c r="B704" s="642"/>
      <c r="C704" s="640"/>
      <c r="D704" s="638"/>
      <c r="E704" s="640"/>
      <c r="F704" s="638"/>
      <c r="G704" s="640"/>
      <c r="H704" s="638" t="s">
        <v>593</v>
      </c>
      <c r="I704" s="640" t="s">
        <v>516</v>
      </c>
      <c r="J704" s="641">
        <v>131</v>
      </c>
    </row>
    <row r="705" spans="1:10" ht="13.5">
      <c r="A705" s="638"/>
      <c r="B705" s="642"/>
      <c r="C705" s="640"/>
      <c r="D705" s="638"/>
      <c r="E705" s="640"/>
      <c r="F705" s="638"/>
      <c r="G705" s="640"/>
      <c r="H705" s="638" t="s">
        <v>594</v>
      </c>
      <c r="I705" s="640" t="s">
        <v>516</v>
      </c>
      <c r="J705" s="641">
        <v>45</v>
      </c>
    </row>
    <row r="706" spans="1:10" ht="13.5">
      <c r="A706" s="638"/>
      <c r="B706" s="642"/>
      <c r="C706" s="640"/>
      <c r="D706" s="638"/>
      <c r="E706" s="640"/>
      <c r="F706" s="638"/>
      <c r="G706" s="640"/>
      <c r="H706" s="638" t="s">
        <v>595</v>
      </c>
      <c r="I706" s="640" t="s">
        <v>516</v>
      </c>
      <c r="J706" s="641">
        <v>12</v>
      </c>
    </row>
    <row r="707" spans="1:10" ht="13.5">
      <c r="A707" s="638"/>
      <c r="B707" s="642"/>
      <c r="C707" s="640"/>
      <c r="D707" s="638"/>
      <c r="E707" s="640"/>
      <c r="F707" s="638"/>
      <c r="G707" s="640"/>
      <c r="H707" s="638" t="s">
        <v>596</v>
      </c>
      <c r="I707" s="640" t="s">
        <v>516</v>
      </c>
      <c r="J707" s="641">
        <v>207</v>
      </c>
    </row>
    <row r="708" spans="1:10" ht="13.5">
      <c r="A708" s="638"/>
      <c r="B708" s="642"/>
      <c r="C708" s="640"/>
      <c r="D708" s="638"/>
      <c r="E708" s="640"/>
      <c r="F708" s="638"/>
      <c r="G708" s="640"/>
      <c r="H708" s="638" t="s">
        <v>606</v>
      </c>
      <c r="I708" s="640" t="s">
        <v>516</v>
      </c>
      <c r="J708" s="641">
        <v>292</v>
      </c>
    </row>
    <row r="709" spans="1:10" ht="13.5">
      <c r="A709" s="638"/>
      <c r="B709" s="642"/>
      <c r="C709" s="640"/>
      <c r="D709" s="638"/>
      <c r="E709" s="640"/>
      <c r="F709" s="638"/>
      <c r="G709" s="640"/>
      <c r="H709" s="638" t="s">
        <v>597</v>
      </c>
      <c r="I709" s="640" t="s">
        <v>516</v>
      </c>
      <c r="J709" s="641">
        <v>435</v>
      </c>
    </row>
    <row r="710" spans="1:10" ht="13.5">
      <c r="A710" s="638"/>
      <c r="B710" s="642"/>
      <c r="C710" s="640"/>
      <c r="D710" s="638"/>
      <c r="E710" s="640"/>
      <c r="F710" s="638"/>
      <c r="G710" s="640"/>
      <c r="H710" s="638" t="s">
        <v>523</v>
      </c>
      <c r="I710" s="640" t="s">
        <v>516</v>
      </c>
      <c r="J710" s="641">
        <v>3530</v>
      </c>
    </row>
    <row r="711" spans="1:10" ht="13.5">
      <c r="A711" s="638"/>
      <c r="B711" s="642"/>
      <c r="C711" s="640"/>
      <c r="D711" s="638"/>
      <c r="E711" s="640"/>
      <c r="F711" s="638"/>
      <c r="G711" s="640"/>
      <c r="H711" s="638" t="s">
        <v>525</v>
      </c>
      <c r="I711" s="640" t="s">
        <v>516</v>
      </c>
      <c r="J711" s="641">
        <v>1135</v>
      </c>
    </row>
    <row r="712" spans="1:10" s="588" customFormat="1" ht="13.5">
      <c r="A712" s="643"/>
      <c r="B712" s="644"/>
      <c r="C712" s="645" t="s">
        <v>541</v>
      </c>
      <c r="D712" s="643"/>
      <c r="E712" s="645"/>
      <c r="F712" s="643"/>
      <c r="G712" s="645" t="s">
        <v>616</v>
      </c>
      <c r="H712" s="643"/>
      <c r="I712" s="645"/>
      <c r="J712" s="646">
        <f>SUM(J701:J711)</f>
        <v>6494</v>
      </c>
    </row>
    <row r="713" spans="1:10" ht="13.5">
      <c r="A713" s="638"/>
      <c r="B713" s="642"/>
      <c r="C713" s="640" t="s">
        <v>541</v>
      </c>
      <c r="D713" s="638"/>
      <c r="E713" s="640" t="s">
        <v>517</v>
      </c>
      <c r="F713" s="638"/>
      <c r="G713" s="640" t="s">
        <v>617</v>
      </c>
      <c r="H713" s="638" t="s">
        <v>584</v>
      </c>
      <c r="I713" s="640" t="s">
        <v>516</v>
      </c>
      <c r="J713" s="641">
        <v>16000</v>
      </c>
    </row>
    <row r="714" spans="1:10" ht="13.5">
      <c r="A714" s="638"/>
      <c r="B714" s="642"/>
      <c r="C714" s="640"/>
      <c r="D714" s="638"/>
      <c r="E714" s="640"/>
      <c r="F714" s="638"/>
      <c r="G714" s="640"/>
      <c r="H714" s="638" t="s">
        <v>656</v>
      </c>
      <c r="I714" s="640" t="s">
        <v>516</v>
      </c>
      <c r="J714" s="641">
        <v>8912</v>
      </c>
    </row>
    <row r="715" spans="1:10" ht="13.5">
      <c r="A715" s="638"/>
      <c r="B715" s="642"/>
      <c r="C715" s="640"/>
      <c r="D715" s="638"/>
      <c r="E715" s="640"/>
      <c r="F715" s="638"/>
      <c r="G715" s="640"/>
      <c r="H715" s="638" t="s">
        <v>530</v>
      </c>
      <c r="I715" s="640" t="s">
        <v>516</v>
      </c>
      <c r="J715" s="641">
        <v>11605</v>
      </c>
    </row>
    <row r="716" spans="1:10" ht="13.5">
      <c r="A716" s="638"/>
      <c r="B716" s="642"/>
      <c r="C716" s="640"/>
      <c r="D716" s="638"/>
      <c r="E716" s="640"/>
      <c r="F716" s="638"/>
      <c r="G716" s="640"/>
      <c r="H716" s="638" t="s">
        <v>655</v>
      </c>
      <c r="I716" s="640" t="s">
        <v>516</v>
      </c>
      <c r="J716" s="641">
        <v>8000</v>
      </c>
    </row>
    <row r="717" spans="1:10" ht="13.5">
      <c r="A717" s="638"/>
      <c r="B717" s="642"/>
      <c r="C717" s="640"/>
      <c r="D717" s="638"/>
      <c r="E717" s="640"/>
      <c r="F717" s="638"/>
      <c r="G717" s="640"/>
      <c r="H717" s="638" t="s">
        <v>706</v>
      </c>
      <c r="I717" s="640" t="s">
        <v>516</v>
      </c>
      <c r="J717" s="641">
        <v>3842</v>
      </c>
    </row>
    <row r="718" spans="1:10" ht="13.5">
      <c r="A718" s="638"/>
      <c r="B718" s="642"/>
      <c r="C718" s="640"/>
      <c r="D718" s="638"/>
      <c r="E718" s="640"/>
      <c r="F718" s="638"/>
      <c r="G718" s="640"/>
      <c r="H718" s="638" t="s">
        <v>707</v>
      </c>
      <c r="I718" s="640" t="s">
        <v>516</v>
      </c>
      <c r="J718" s="641">
        <v>12060</v>
      </c>
    </row>
    <row r="719" spans="1:10" s="588" customFormat="1" ht="13.5">
      <c r="A719" s="643"/>
      <c r="B719" s="644"/>
      <c r="C719" s="645" t="s">
        <v>541</v>
      </c>
      <c r="D719" s="643"/>
      <c r="E719" s="645"/>
      <c r="F719" s="643"/>
      <c r="G719" s="645" t="s">
        <v>617</v>
      </c>
      <c r="H719" s="643"/>
      <c r="I719" s="645"/>
      <c r="J719" s="646">
        <f>SUM(J713:J718)</f>
        <v>60419</v>
      </c>
    </row>
    <row r="720" spans="1:10" ht="13.5" thickBot="1">
      <c r="A720" s="655" t="s">
        <v>708</v>
      </c>
      <c r="B720" s="656"/>
      <c r="C720" s="657"/>
      <c r="D720" s="656"/>
      <c r="E720" s="657"/>
      <c r="F720" s="656"/>
      <c r="G720" s="657"/>
      <c r="H720" s="656"/>
      <c r="I720" s="657"/>
      <c r="J720" s="658">
        <f>SUM(J640+J644+J648+J650+J663+J665+J670+J676+J684+J687+J692+J696+J700+J712+J719)</f>
        <v>0</v>
      </c>
    </row>
    <row r="721" spans="1:10" ht="13.5" thickTop="1">
      <c r="A721" s="598"/>
      <c r="B721" s="598"/>
      <c r="C721" s="599"/>
      <c r="D721" s="598"/>
      <c r="E721" s="598"/>
      <c r="F721" s="598"/>
      <c r="G721" s="599"/>
      <c r="H721" s="598"/>
      <c r="I721" s="599"/>
      <c r="J721" s="659"/>
    </row>
    <row r="722" spans="1:10" ht="13.5">
      <c r="A722" s="660" t="s">
        <v>709</v>
      </c>
      <c r="B722" s="661">
        <v>41555</v>
      </c>
      <c r="C722" s="660" t="s">
        <v>680</v>
      </c>
      <c r="D722" s="660" t="s">
        <v>710</v>
      </c>
      <c r="E722" s="660" t="s">
        <v>517</v>
      </c>
      <c r="F722" s="543" t="s">
        <v>514</v>
      </c>
      <c r="G722" s="660">
        <v>35</v>
      </c>
      <c r="H722" s="660" t="s">
        <v>685</v>
      </c>
      <c r="I722" s="660" t="s">
        <v>516</v>
      </c>
      <c r="J722" s="662">
        <v>1000</v>
      </c>
    </row>
    <row r="723" spans="1:10" ht="13.5">
      <c r="A723" s="663"/>
      <c r="B723" s="664"/>
      <c r="C723" s="660"/>
      <c r="D723" s="663"/>
      <c r="E723" s="660" t="s">
        <v>517</v>
      </c>
      <c r="F723" s="654" t="s">
        <v>518</v>
      </c>
      <c r="G723" s="660" t="s">
        <v>540</v>
      </c>
      <c r="H723" s="660" t="s">
        <v>686</v>
      </c>
      <c r="I723" s="660" t="s">
        <v>516</v>
      </c>
      <c r="J723" s="662">
        <v>1000</v>
      </c>
    </row>
    <row r="724" spans="1:10" ht="13.5">
      <c r="A724" s="663"/>
      <c r="B724" s="664"/>
      <c r="C724" s="660"/>
      <c r="D724" s="663"/>
      <c r="E724" s="660" t="s">
        <v>517</v>
      </c>
      <c r="F724" s="663"/>
      <c r="G724" s="660" t="s">
        <v>540</v>
      </c>
      <c r="H724" s="660" t="s">
        <v>655</v>
      </c>
      <c r="I724" s="660" t="s">
        <v>516</v>
      </c>
      <c r="J724" s="662">
        <v>5000</v>
      </c>
    </row>
    <row r="725" spans="1:10" s="587" customFormat="1" ht="13.5">
      <c r="A725" s="665"/>
      <c r="B725" s="666"/>
      <c r="C725" s="667" t="s">
        <v>680</v>
      </c>
      <c r="D725" s="665"/>
      <c r="E725" s="667"/>
      <c r="F725" s="665"/>
      <c r="G725" s="667" t="s">
        <v>540</v>
      </c>
      <c r="H725" s="667"/>
      <c r="I725" s="667"/>
      <c r="J725" s="668">
        <v>7000</v>
      </c>
    </row>
    <row r="726" spans="1:10" ht="13.5">
      <c r="A726" s="663"/>
      <c r="B726" s="664"/>
      <c r="C726" s="660" t="s">
        <v>660</v>
      </c>
      <c r="D726" s="663"/>
      <c r="E726" s="660" t="s">
        <v>517</v>
      </c>
      <c r="F726" s="663"/>
      <c r="G726" s="660" t="s">
        <v>540</v>
      </c>
      <c r="H726" s="660" t="s">
        <v>685</v>
      </c>
      <c r="I726" s="660" t="s">
        <v>516</v>
      </c>
      <c r="J726" s="662">
        <v>1000</v>
      </c>
    </row>
    <row r="727" spans="1:10" ht="13.5">
      <c r="A727" s="663"/>
      <c r="B727" s="664"/>
      <c r="C727" s="660"/>
      <c r="D727" s="663"/>
      <c r="E727" s="660" t="s">
        <v>517</v>
      </c>
      <c r="F727" s="663"/>
      <c r="G727" s="660" t="s">
        <v>540</v>
      </c>
      <c r="H727" s="660" t="s">
        <v>686</v>
      </c>
      <c r="I727" s="660" t="s">
        <v>516</v>
      </c>
      <c r="J727" s="662">
        <v>1000</v>
      </c>
    </row>
    <row r="728" spans="1:10" ht="13.5">
      <c r="A728" s="663"/>
      <c r="B728" s="664"/>
      <c r="C728" s="660"/>
      <c r="D728" s="663"/>
      <c r="E728" s="660" t="s">
        <v>517</v>
      </c>
      <c r="F728" s="663"/>
      <c r="G728" s="660" t="s">
        <v>540</v>
      </c>
      <c r="H728" s="660" t="s">
        <v>655</v>
      </c>
      <c r="I728" s="660" t="s">
        <v>516</v>
      </c>
      <c r="J728" s="662">
        <v>5000</v>
      </c>
    </row>
    <row r="729" spans="1:10" s="587" customFormat="1" ht="13.5">
      <c r="A729" s="665"/>
      <c r="B729" s="666"/>
      <c r="C729" s="667" t="s">
        <v>660</v>
      </c>
      <c r="D729" s="665"/>
      <c r="E729" s="667"/>
      <c r="F729" s="665"/>
      <c r="G729" s="667" t="s">
        <v>540</v>
      </c>
      <c r="H729" s="667"/>
      <c r="I729" s="667"/>
      <c r="J729" s="668">
        <v>7000</v>
      </c>
    </row>
    <row r="730" spans="1:10" ht="13.5">
      <c r="A730" s="663"/>
      <c r="B730" s="664"/>
      <c r="C730" s="660" t="s">
        <v>541</v>
      </c>
      <c r="D730" s="663"/>
      <c r="E730" s="660" t="s">
        <v>517</v>
      </c>
      <c r="F730" s="663"/>
      <c r="G730" s="660" t="s">
        <v>540</v>
      </c>
      <c r="H730" s="660" t="s">
        <v>711</v>
      </c>
      <c r="I730" s="660" t="s">
        <v>712</v>
      </c>
      <c r="J730" s="662">
        <v>62000</v>
      </c>
    </row>
    <row r="731" spans="1:10" ht="13.5">
      <c r="A731" s="663"/>
      <c r="B731" s="664"/>
      <c r="C731" s="660"/>
      <c r="D731" s="663"/>
      <c r="E731" s="660" t="s">
        <v>513</v>
      </c>
      <c r="F731" s="663"/>
      <c r="G731" s="660" t="s">
        <v>540</v>
      </c>
      <c r="H731" s="660" t="s">
        <v>713</v>
      </c>
      <c r="I731" s="660" t="s">
        <v>714</v>
      </c>
      <c r="J731" s="662">
        <v>-134000</v>
      </c>
    </row>
    <row r="732" spans="1:10" ht="13.5">
      <c r="A732" s="663"/>
      <c r="B732" s="664"/>
      <c r="C732" s="660"/>
      <c r="D732" s="663"/>
      <c r="E732" s="660" t="s">
        <v>513</v>
      </c>
      <c r="F732" s="663"/>
      <c r="G732" s="660" t="s">
        <v>540</v>
      </c>
      <c r="H732" s="660" t="s">
        <v>553</v>
      </c>
      <c r="I732" s="660" t="s">
        <v>715</v>
      </c>
      <c r="J732" s="662">
        <v>-2700</v>
      </c>
    </row>
    <row r="733" spans="1:10" ht="13.5">
      <c r="A733" s="663"/>
      <c r="B733" s="664"/>
      <c r="C733" s="660"/>
      <c r="D733" s="663"/>
      <c r="E733" s="660" t="s">
        <v>517</v>
      </c>
      <c r="F733" s="663"/>
      <c r="G733" s="660" t="s">
        <v>540</v>
      </c>
      <c r="H733" s="660" t="s">
        <v>553</v>
      </c>
      <c r="I733" s="660" t="s">
        <v>716</v>
      </c>
      <c r="J733" s="662">
        <v>500</v>
      </c>
    </row>
    <row r="734" spans="1:10" ht="13.5">
      <c r="A734" s="663"/>
      <c r="B734" s="664"/>
      <c r="C734" s="660"/>
      <c r="D734" s="663"/>
      <c r="E734" s="660" t="s">
        <v>517</v>
      </c>
      <c r="F734" s="663"/>
      <c r="G734" s="660" t="s">
        <v>540</v>
      </c>
      <c r="H734" s="660" t="s">
        <v>553</v>
      </c>
      <c r="I734" s="660" t="s">
        <v>717</v>
      </c>
      <c r="J734" s="662">
        <v>1500</v>
      </c>
    </row>
    <row r="735" spans="1:10" ht="13.5">
      <c r="A735" s="663"/>
      <c r="B735" s="664"/>
      <c r="C735" s="660"/>
      <c r="D735" s="663"/>
      <c r="E735" s="660" t="s">
        <v>513</v>
      </c>
      <c r="F735" s="663"/>
      <c r="G735" s="660" t="s">
        <v>540</v>
      </c>
      <c r="H735" s="660" t="s">
        <v>553</v>
      </c>
      <c r="I735" s="660" t="s">
        <v>718</v>
      </c>
      <c r="J735" s="662">
        <v>-300</v>
      </c>
    </row>
    <row r="736" spans="1:10" ht="13.5">
      <c r="A736" s="663"/>
      <c r="B736" s="664"/>
      <c r="C736" s="660"/>
      <c r="D736" s="663"/>
      <c r="E736" s="660" t="s">
        <v>513</v>
      </c>
      <c r="F736" s="663"/>
      <c r="G736" s="660" t="s">
        <v>540</v>
      </c>
      <c r="H736" s="660" t="s">
        <v>557</v>
      </c>
      <c r="I736" s="660" t="s">
        <v>719</v>
      </c>
      <c r="J736" s="662">
        <v>-76800</v>
      </c>
    </row>
    <row r="737" spans="1:10" ht="13.5">
      <c r="A737" s="663"/>
      <c r="B737" s="664"/>
      <c r="C737" s="660"/>
      <c r="D737" s="663"/>
      <c r="E737" s="660" t="s">
        <v>517</v>
      </c>
      <c r="F737" s="663"/>
      <c r="G737" s="660" t="s">
        <v>540</v>
      </c>
      <c r="H737" s="660" t="s">
        <v>557</v>
      </c>
      <c r="I737" s="660" t="s">
        <v>720</v>
      </c>
      <c r="J737" s="662">
        <v>35000</v>
      </c>
    </row>
    <row r="738" spans="1:10" ht="13.5">
      <c r="A738" s="663"/>
      <c r="B738" s="664"/>
      <c r="C738" s="660"/>
      <c r="D738" s="663"/>
      <c r="E738" s="660" t="s">
        <v>517</v>
      </c>
      <c r="F738" s="663"/>
      <c r="G738" s="660" t="s">
        <v>540</v>
      </c>
      <c r="H738" s="660" t="s">
        <v>557</v>
      </c>
      <c r="I738" s="660" t="s">
        <v>721</v>
      </c>
      <c r="J738" s="662">
        <v>11000</v>
      </c>
    </row>
    <row r="739" spans="1:10" ht="13.5">
      <c r="A739" s="663"/>
      <c r="B739" s="664"/>
      <c r="C739" s="660"/>
      <c r="D739" s="663"/>
      <c r="E739" s="660" t="s">
        <v>513</v>
      </c>
      <c r="F739" s="663"/>
      <c r="G739" s="660" t="s">
        <v>540</v>
      </c>
      <c r="H739" s="660" t="s">
        <v>557</v>
      </c>
      <c r="I739" s="660" t="s">
        <v>570</v>
      </c>
      <c r="J739" s="662">
        <v>-5000</v>
      </c>
    </row>
    <row r="740" spans="1:10" ht="13.5">
      <c r="A740" s="663"/>
      <c r="B740" s="664"/>
      <c r="C740" s="660"/>
      <c r="D740" s="663"/>
      <c r="E740" s="660" t="s">
        <v>513</v>
      </c>
      <c r="F740" s="663"/>
      <c r="G740" s="660" t="s">
        <v>540</v>
      </c>
      <c r="H740" s="660" t="s">
        <v>557</v>
      </c>
      <c r="I740" s="660" t="s">
        <v>572</v>
      </c>
      <c r="J740" s="662">
        <v>-1000</v>
      </c>
    </row>
    <row r="741" spans="1:10" ht="13.5">
      <c r="A741" s="663"/>
      <c r="B741" s="664"/>
      <c r="C741" s="660"/>
      <c r="D741" s="663"/>
      <c r="E741" s="660" t="s">
        <v>513</v>
      </c>
      <c r="F741" s="663"/>
      <c r="G741" s="660" t="s">
        <v>540</v>
      </c>
      <c r="H741" s="660" t="s">
        <v>557</v>
      </c>
      <c r="I741" s="660" t="s">
        <v>722</v>
      </c>
      <c r="J741" s="662">
        <v>-60600</v>
      </c>
    </row>
    <row r="742" spans="1:10" ht="13.5">
      <c r="A742" s="663"/>
      <c r="B742" s="664"/>
      <c r="C742" s="660"/>
      <c r="D742" s="663"/>
      <c r="E742" s="660" t="s">
        <v>513</v>
      </c>
      <c r="F742" s="663"/>
      <c r="G742" s="660" t="s">
        <v>540</v>
      </c>
      <c r="H742" s="660" t="s">
        <v>557</v>
      </c>
      <c r="I742" s="660" t="s">
        <v>723</v>
      </c>
      <c r="J742" s="662">
        <v>-10000</v>
      </c>
    </row>
    <row r="743" spans="1:10" ht="13.5">
      <c r="A743" s="663"/>
      <c r="B743" s="664"/>
      <c r="C743" s="660"/>
      <c r="D743" s="663"/>
      <c r="E743" s="660" t="s">
        <v>513</v>
      </c>
      <c r="F743" s="663"/>
      <c r="G743" s="660" t="s">
        <v>540</v>
      </c>
      <c r="H743" s="660" t="s">
        <v>557</v>
      </c>
      <c r="I743" s="660" t="s">
        <v>578</v>
      </c>
      <c r="J743" s="662">
        <v>-65000</v>
      </c>
    </row>
    <row r="744" spans="1:10" ht="13.5">
      <c r="A744" s="663"/>
      <c r="B744" s="664"/>
      <c r="C744" s="660"/>
      <c r="D744" s="663"/>
      <c r="E744" s="660" t="s">
        <v>513</v>
      </c>
      <c r="F744" s="663"/>
      <c r="G744" s="660" t="s">
        <v>540</v>
      </c>
      <c r="H744" s="660" t="s">
        <v>557</v>
      </c>
      <c r="I744" s="660" t="s">
        <v>684</v>
      </c>
      <c r="J744" s="662">
        <v>-1300</v>
      </c>
    </row>
    <row r="745" spans="1:10" ht="13.5">
      <c r="A745" s="663"/>
      <c r="B745" s="664"/>
      <c r="C745" s="660"/>
      <c r="D745" s="663"/>
      <c r="E745" s="660" t="s">
        <v>517</v>
      </c>
      <c r="F745" s="663"/>
      <c r="G745" s="660" t="s">
        <v>540</v>
      </c>
      <c r="H745" s="660" t="s">
        <v>560</v>
      </c>
      <c r="I745" s="660" t="s">
        <v>561</v>
      </c>
      <c r="J745" s="662">
        <v>2600</v>
      </c>
    </row>
    <row r="746" spans="1:10" ht="13.5">
      <c r="A746" s="663"/>
      <c r="B746" s="664"/>
      <c r="C746" s="660"/>
      <c r="D746" s="663"/>
      <c r="E746" s="660" t="s">
        <v>517</v>
      </c>
      <c r="F746" s="663"/>
      <c r="G746" s="660" t="s">
        <v>540</v>
      </c>
      <c r="H746" s="660" t="s">
        <v>560</v>
      </c>
      <c r="I746" s="660" t="s">
        <v>561</v>
      </c>
      <c r="J746" s="662">
        <v>13500</v>
      </c>
    </row>
    <row r="747" spans="1:10" ht="13.5">
      <c r="A747" s="663"/>
      <c r="B747" s="664"/>
      <c r="C747" s="660"/>
      <c r="D747" s="663"/>
      <c r="E747" s="660" t="s">
        <v>513</v>
      </c>
      <c r="F747" s="663"/>
      <c r="G747" s="660" t="s">
        <v>540</v>
      </c>
      <c r="H747" s="660" t="s">
        <v>560</v>
      </c>
      <c r="I747" s="660" t="s">
        <v>562</v>
      </c>
      <c r="J747" s="662">
        <v>-7659</v>
      </c>
    </row>
    <row r="748" spans="1:10" ht="13.5">
      <c r="A748" s="663"/>
      <c r="B748" s="664"/>
      <c r="C748" s="660"/>
      <c r="D748" s="663"/>
      <c r="E748" s="660" t="s">
        <v>513</v>
      </c>
      <c r="F748" s="663"/>
      <c r="G748" s="660" t="s">
        <v>540</v>
      </c>
      <c r="H748" s="660" t="s">
        <v>560</v>
      </c>
      <c r="I748" s="660" t="s">
        <v>724</v>
      </c>
      <c r="J748" s="662">
        <v>-26741</v>
      </c>
    </row>
    <row r="749" spans="1:10" ht="13.5">
      <c r="A749" s="663"/>
      <c r="B749" s="664"/>
      <c r="C749" s="660"/>
      <c r="D749" s="663"/>
      <c r="E749" s="660" t="s">
        <v>517</v>
      </c>
      <c r="F749" s="663"/>
      <c r="G749" s="660" t="s">
        <v>540</v>
      </c>
      <c r="H749" s="660" t="s">
        <v>725</v>
      </c>
      <c r="I749" s="660" t="s">
        <v>516</v>
      </c>
      <c r="J749" s="662">
        <v>10000</v>
      </c>
    </row>
    <row r="750" spans="1:10" ht="13.5">
      <c r="A750" s="663"/>
      <c r="B750" s="664"/>
      <c r="C750" s="660"/>
      <c r="D750" s="663"/>
      <c r="E750" s="660" t="s">
        <v>517</v>
      </c>
      <c r="F750" s="663"/>
      <c r="G750" s="660" t="s">
        <v>540</v>
      </c>
      <c r="H750" s="660" t="s">
        <v>687</v>
      </c>
      <c r="I750" s="660" t="s">
        <v>516</v>
      </c>
      <c r="J750" s="662">
        <v>1000</v>
      </c>
    </row>
    <row r="751" spans="1:10" ht="13.5">
      <c r="A751" s="663"/>
      <c r="B751" s="664"/>
      <c r="C751" s="660"/>
      <c r="D751" s="663"/>
      <c r="E751" s="660" t="s">
        <v>517</v>
      </c>
      <c r="F751" s="663"/>
      <c r="G751" s="660" t="s">
        <v>540</v>
      </c>
      <c r="H751" s="660" t="s">
        <v>656</v>
      </c>
      <c r="I751" s="660" t="s">
        <v>516</v>
      </c>
      <c r="J751" s="662">
        <v>10000</v>
      </c>
    </row>
    <row r="752" spans="1:10" ht="13.5">
      <c r="A752" s="663"/>
      <c r="B752" s="664"/>
      <c r="C752" s="660"/>
      <c r="D752" s="663"/>
      <c r="E752" s="660" t="s">
        <v>517</v>
      </c>
      <c r="F752" s="663"/>
      <c r="G752" s="660" t="s">
        <v>540</v>
      </c>
      <c r="H752" s="660" t="s">
        <v>542</v>
      </c>
      <c r="I752" s="660" t="s">
        <v>516</v>
      </c>
      <c r="J752" s="662">
        <v>10000</v>
      </c>
    </row>
    <row r="753" spans="1:10" ht="13.5">
      <c r="A753" s="663"/>
      <c r="B753" s="664"/>
      <c r="C753" s="660"/>
      <c r="D753" s="663"/>
      <c r="E753" s="660" t="s">
        <v>517</v>
      </c>
      <c r="F753" s="663"/>
      <c r="G753" s="660" t="s">
        <v>540</v>
      </c>
      <c r="H753" s="660" t="s">
        <v>655</v>
      </c>
      <c r="I753" s="660" t="s">
        <v>516</v>
      </c>
      <c r="J753" s="662">
        <v>15000</v>
      </c>
    </row>
    <row r="754" spans="1:10" ht="13.5">
      <c r="A754" s="663"/>
      <c r="B754" s="664"/>
      <c r="C754" s="660"/>
      <c r="D754" s="663"/>
      <c r="E754" s="660" t="s">
        <v>517</v>
      </c>
      <c r="F754" s="663"/>
      <c r="G754" s="660" t="s">
        <v>540</v>
      </c>
      <c r="H754" s="660" t="s">
        <v>663</v>
      </c>
      <c r="I754" s="660" t="s">
        <v>516</v>
      </c>
      <c r="J754" s="662">
        <v>10000</v>
      </c>
    </row>
    <row r="755" spans="1:10" ht="13.5">
      <c r="A755" s="663"/>
      <c r="B755" s="664"/>
      <c r="C755" s="660"/>
      <c r="D755" s="663"/>
      <c r="E755" s="660" t="s">
        <v>517</v>
      </c>
      <c r="F755" s="663"/>
      <c r="G755" s="660" t="s">
        <v>540</v>
      </c>
      <c r="H755" s="660" t="s">
        <v>688</v>
      </c>
      <c r="I755" s="660" t="s">
        <v>516</v>
      </c>
      <c r="J755" s="662">
        <v>8000</v>
      </c>
    </row>
    <row r="756" spans="1:10" ht="13.5">
      <c r="A756" s="663"/>
      <c r="B756" s="664"/>
      <c r="C756" s="660"/>
      <c r="D756" s="663"/>
      <c r="E756" s="660" t="s">
        <v>517</v>
      </c>
      <c r="F756" s="663"/>
      <c r="G756" s="660" t="s">
        <v>540</v>
      </c>
      <c r="H756" s="660" t="s">
        <v>543</v>
      </c>
      <c r="I756" s="660" t="s">
        <v>516</v>
      </c>
      <c r="J756" s="662">
        <v>1000</v>
      </c>
    </row>
    <row r="757" spans="1:10" ht="13.5">
      <c r="A757" s="663"/>
      <c r="B757" s="664"/>
      <c r="C757" s="660"/>
      <c r="D757" s="663"/>
      <c r="E757" s="660" t="s">
        <v>517</v>
      </c>
      <c r="F757" s="663"/>
      <c r="G757" s="660" t="s">
        <v>540</v>
      </c>
      <c r="H757" s="660" t="s">
        <v>528</v>
      </c>
      <c r="I757" s="660" t="s">
        <v>516</v>
      </c>
      <c r="J757" s="662">
        <v>100</v>
      </c>
    </row>
    <row r="758" spans="1:10" s="587" customFormat="1" ht="13.5">
      <c r="A758" s="665"/>
      <c r="B758" s="666"/>
      <c r="C758" s="667" t="s">
        <v>541</v>
      </c>
      <c r="D758" s="665"/>
      <c r="E758" s="667"/>
      <c r="F758" s="665"/>
      <c r="G758" s="667" t="s">
        <v>540</v>
      </c>
      <c r="H758" s="667"/>
      <c r="I758" s="667"/>
      <c r="J758" s="668">
        <v>-199900</v>
      </c>
    </row>
    <row r="759" spans="1:10" s="652" customFormat="1" ht="13.5">
      <c r="A759" s="669"/>
      <c r="B759" s="670"/>
      <c r="C759" s="671"/>
      <c r="D759" s="669"/>
      <c r="E759" s="671"/>
      <c r="F759" s="669"/>
      <c r="G759" s="671" t="s">
        <v>540</v>
      </c>
      <c r="H759" s="671"/>
      <c r="I759" s="671"/>
      <c r="J759" s="672">
        <v>-185900</v>
      </c>
    </row>
    <row r="760" spans="1:10" ht="13.5">
      <c r="A760" s="663"/>
      <c r="B760" s="664"/>
      <c r="C760" s="660" t="s">
        <v>541</v>
      </c>
      <c r="D760" s="663"/>
      <c r="E760" s="660" t="s">
        <v>517</v>
      </c>
      <c r="F760" s="663"/>
      <c r="G760" s="660" t="s">
        <v>675</v>
      </c>
      <c r="H760" s="660" t="s">
        <v>650</v>
      </c>
      <c r="I760" s="660" t="s">
        <v>516</v>
      </c>
      <c r="J760" s="662">
        <v>185900</v>
      </c>
    </row>
    <row r="761" spans="1:10" s="587" customFormat="1" ht="13.5">
      <c r="A761" s="673" t="s">
        <v>726</v>
      </c>
      <c r="B761" s="674"/>
      <c r="C761" s="675" t="s">
        <v>541</v>
      </c>
      <c r="D761" s="676"/>
      <c r="E761" s="675"/>
      <c r="F761" s="676"/>
      <c r="G761" s="675" t="s">
        <v>675</v>
      </c>
      <c r="H761" s="675"/>
      <c r="I761" s="675"/>
      <c r="J761" s="677">
        <v>185900</v>
      </c>
    </row>
    <row r="762" spans="1:10" ht="13.5">
      <c r="A762" s="559"/>
      <c r="B762" s="559"/>
      <c r="C762" s="560"/>
      <c r="D762" s="559"/>
      <c r="E762" s="559"/>
      <c r="F762" s="559"/>
      <c r="G762" s="560"/>
      <c r="H762" s="560"/>
      <c r="I762" s="560"/>
      <c r="J762" s="678"/>
    </row>
    <row r="763" spans="1:10" ht="13.5">
      <c r="A763" s="660" t="s">
        <v>727</v>
      </c>
      <c r="B763" s="661">
        <v>41562</v>
      </c>
      <c r="C763" s="660" t="s">
        <v>541</v>
      </c>
      <c r="D763" s="660" t="s">
        <v>728</v>
      </c>
      <c r="E763" s="660" t="s">
        <v>513</v>
      </c>
      <c r="F763" s="543" t="s">
        <v>514</v>
      </c>
      <c r="G763" s="660" t="s">
        <v>605</v>
      </c>
      <c r="H763" s="660" t="s">
        <v>654</v>
      </c>
      <c r="I763" s="660" t="s">
        <v>516</v>
      </c>
      <c r="J763" s="662">
        <v>-19510</v>
      </c>
    </row>
    <row r="764" spans="1:10" s="587" customFormat="1" ht="13.5">
      <c r="A764" s="583"/>
      <c r="B764" s="583"/>
      <c r="C764" s="585">
        <v>132</v>
      </c>
      <c r="D764" s="583"/>
      <c r="E764" s="585"/>
      <c r="F764" s="654" t="s">
        <v>518</v>
      </c>
      <c r="G764" s="667" t="s">
        <v>605</v>
      </c>
      <c r="H764" s="667"/>
      <c r="I764" s="667"/>
      <c r="J764" s="668">
        <v>-19510</v>
      </c>
    </row>
    <row r="765" spans="1:10" ht="13.5">
      <c r="A765" s="660"/>
      <c r="B765" s="661"/>
      <c r="C765" s="660" t="s">
        <v>541</v>
      </c>
      <c r="D765" s="660"/>
      <c r="E765" s="660" t="s">
        <v>517</v>
      </c>
      <c r="F765" s="543"/>
      <c r="G765" s="660" t="s">
        <v>589</v>
      </c>
      <c r="H765" s="660" t="s">
        <v>725</v>
      </c>
      <c r="I765" s="660" t="s">
        <v>516</v>
      </c>
      <c r="J765" s="662">
        <v>1200</v>
      </c>
    </row>
    <row r="766" spans="1:10" ht="13.5">
      <c r="A766" s="663"/>
      <c r="B766" s="664"/>
      <c r="C766" s="660"/>
      <c r="D766" s="663"/>
      <c r="E766" s="660" t="s">
        <v>517</v>
      </c>
      <c r="F766" s="654"/>
      <c r="G766" s="660" t="s">
        <v>589</v>
      </c>
      <c r="H766" s="660" t="s">
        <v>729</v>
      </c>
      <c r="I766" s="660" t="s">
        <v>516</v>
      </c>
      <c r="J766" s="662">
        <v>1500</v>
      </c>
    </row>
    <row r="767" spans="1:10" ht="13.5">
      <c r="A767" s="663"/>
      <c r="B767" s="664"/>
      <c r="C767" s="660"/>
      <c r="D767" s="663"/>
      <c r="E767" s="660" t="s">
        <v>517</v>
      </c>
      <c r="F767" s="663"/>
      <c r="G767" s="660" t="s">
        <v>589</v>
      </c>
      <c r="H767" s="660" t="s">
        <v>523</v>
      </c>
      <c r="I767" s="660" t="s">
        <v>516</v>
      </c>
      <c r="J767" s="662">
        <v>8000</v>
      </c>
    </row>
    <row r="768" spans="1:10" ht="13.5">
      <c r="A768" s="663"/>
      <c r="B768" s="664"/>
      <c r="C768" s="660"/>
      <c r="D768" s="663"/>
      <c r="E768" s="660" t="s">
        <v>517</v>
      </c>
      <c r="F768" s="663"/>
      <c r="G768" s="660" t="s">
        <v>589</v>
      </c>
      <c r="H768" s="660" t="s">
        <v>531</v>
      </c>
      <c r="I768" s="660" t="s">
        <v>516</v>
      </c>
      <c r="J768" s="662">
        <v>1100</v>
      </c>
    </row>
    <row r="769" spans="1:10" s="587" customFormat="1" ht="13.5">
      <c r="A769" s="665"/>
      <c r="B769" s="666"/>
      <c r="C769" s="667" t="s">
        <v>541</v>
      </c>
      <c r="D769" s="665"/>
      <c r="E769" s="667"/>
      <c r="F769" s="665"/>
      <c r="G769" s="667" t="s">
        <v>589</v>
      </c>
      <c r="H769" s="667"/>
      <c r="I769" s="667"/>
      <c r="J769" s="668">
        <v>11800</v>
      </c>
    </row>
    <row r="770" spans="1:10" ht="13.5">
      <c r="A770" s="663"/>
      <c r="B770" s="664"/>
      <c r="C770" s="660" t="s">
        <v>541</v>
      </c>
      <c r="D770" s="663"/>
      <c r="E770" s="660" t="s">
        <v>517</v>
      </c>
      <c r="F770" s="663"/>
      <c r="G770" s="660" t="s">
        <v>730</v>
      </c>
      <c r="H770" s="660" t="s">
        <v>584</v>
      </c>
      <c r="I770" s="660" t="s">
        <v>516</v>
      </c>
      <c r="J770" s="662">
        <v>1000</v>
      </c>
    </row>
    <row r="771" spans="1:10" ht="13.5">
      <c r="A771" s="663"/>
      <c r="B771" s="664"/>
      <c r="C771" s="660"/>
      <c r="D771" s="663"/>
      <c r="E771" s="660" t="s">
        <v>517</v>
      </c>
      <c r="F771" s="663"/>
      <c r="G771" s="660" t="s">
        <v>730</v>
      </c>
      <c r="H771" s="660" t="s">
        <v>700</v>
      </c>
      <c r="I771" s="660" t="s">
        <v>516</v>
      </c>
      <c r="J771" s="662">
        <v>1000</v>
      </c>
    </row>
    <row r="772" spans="1:10" ht="13.5">
      <c r="A772" s="663"/>
      <c r="B772" s="664"/>
      <c r="C772" s="660"/>
      <c r="D772" s="663"/>
      <c r="E772" s="660" t="s">
        <v>517</v>
      </c>
      <c r="F772" s="663"/>
      <c r="G772" s="660" t="s">
        <v>730</v>
      </c>
      <c r="H772" s="660" t="s">
        <v>729</v>
      </c>
      <c r="I772" s="660" t="s">
        <v>516</v>
      </c>
      <c r="J772" s="662">
        <v>1740</v>
      </c>
    </row>
    <row r="773" spans="1:10" ht="13.5">
      <c r="A773" s="663"/>
      <c r="B773" s="664"/>
      <c r="C773" s="660"/>
      <c r="D773" s="663"/>
      <c r="E773" s="660" t="s">
        <v>517</v>
      </c>
      <c r="F773" s="663"/>
      <c r="G773" s="660" t="s">
        <v>730</v>
      </c>
      <c r="H773" s="660" t="s">
        <v>731</v>
      </c>
      <c r="I773" s="660" t="s">
        <v>516</v>
      </c>
      <c r="J773" s="662">
        <v>200</v>
      </c>
    </row>
    <row r="774" spans="1:10" ht="13.5">
      <c r="A774" s="663"/>
      <c r="B774" s="664"/>
      <c r="C774" s="660"/>
      <c r="D774" s="663"/>
      <c r="E774" s="660" t="s">
        <v>517</v>
      </c>
      <c r="F774" s="663"/>
      <c r="G774" s="660" t="s">
        <v>730</v>
      </c>
      <c r="H774" s="660" t="s">
        <v>655</v>
      </c>
      <c r="I774" s="660" t="s">
        <v>516</v>
      </c>
      <c r="J774" s="662">
        <v>320</v>
      </c>
    </row>
    <row r="775" spans="1:10" ht="13.5">
      <c r="A775" s="663"/>
      <c r="B775" s="664"/>
      <c r="C775" s="660"/>
      <c r="D775" s="663"/>
      <c r="E775" s="660" t="s">
        <v>517</v>
      </c>
      <c r="F775" s="663"/>
      <c r="G775" s="660" t="s">
        <v>730</v>
      </c>
      <c r="H775" s="660" t="s">
        <v>706</v>
      </c>
      <c r="I775" s="660" t="s">
        <v>516</v>
      </c>
      <c r="J775" s="662">
        <v>1500</v>
      </c>
    </row>
    <row r="776" spans="1:10" ht="13.5">
      <c r="A776" s="663"/>
      <c r="B776" s="664"/>
      <c r="C776" s="660"/>
      <c r="D776" s="663"/>
      <c r="E776" s="660" t="s">
        <v>517</v>
      </c>
      <c r="F776" s="663"/>
      <c r="G776" s="660" t="s">
        <v>730</v>
      </c>
      <c r="H776" s="660" t="s">
        <v>543</v>
      </c>
      <c r="I776" s="660" t="s">
        <v>516</v>
      </c>
      <c r="J776" s="662">
        <v>450</v>
      </c>
    </row>
    <row r="777" spans="1:10" ht="13.5">
      <c r="A777" s="663"/>
      <c r="B777" s="664"/>
      <c r="C777" s="660"/>
      <c r="D777" s="663"/>
      <c r="E777" s="660" t="s">
        <v>517</v>
      </c>
      <c r="F777" s="663"/>
      <c r="G777" s="660" t="s">
        <v>730</v>
      </c>
      <c r="H777" s="660" t="s">
        <v>702</v>
      </c>
      <c r="I777" s="660" t="s">
        <v>516</v>
      </c>
      <c r="J777" s="662">
        <v>1500</v>
      </c>
    </row>
    <row r="778" spans="1:10" s="587" customFormat="1" ht="13.5">
      <c r="A778" s="673" t="s">
        <v>732</v>
      </c>
      <c r="B778" s="674"/>
      <c r="C778" s="675" t="s">
        <v>541</v>
      </c>
      <c r="D778" s="676"/>
      <c r="E778" s="676"/>
      <c r="F778" s="676"/>
      <c r="G778" s="675" t="s">
        <v>730</v>
      </c>
      <c r="H778" s="675"/>
      <c r="I778" s="675"/>
      <c r="J778" s="677">
        <v>7710</v>
      </c>
    </row>
    <row r="779" spans="1:10" ht="13.5">
      <c r="A779" s="559"/>
      <c r="B779" s="559"/>
      <c r="C779" s="560"/>
      <c r="D779" s="559"/>
      <c r="E779" s="559"/>
      <c r="F779" s="559"/>
      <c r="G779" s="559"/>
      <c r="H779" s="560"/>
      <c r="I779" s="560"/>
      <c r="J779" s="678"/>
    </row>
    <row r="780" spans="1:10" ht="13.5">
      <c r="A780" s="660" t="s">
        <v>733</v>
      </c>
      <c r="B780" s="661">
        <v>41564</v>
      </c>
      <c r="C780" s="660" t="s">
        <v>541</v>
      </c>
      <c r="D780" s="660" t="s">
        <v>734</v>
      </c>
      <c r="E780" s="660" t="s">
        <v>513</v>
      </c>
      <c r="F780" s="543" t="s">
        <v>514</v>
      </c>
      <c r="G780" s="660" t="s">
        <v>605</v>
      </c>
      <c r="H780" s="663" t="s">
        <v>607</v>
      </c>
      <c r="I780" s="660" t="s">
        <v>516</v>
      </c>
      <c r="J780" s="662">
        <v>-47800</v>
      </c>
    </row>
    <row r="781" spans="1:10" ht="13.5">
      <c r="A781" s="660"/>
      <c r="B781" s="661"/>
      <c r="C781" s="660"/>
      <c r="D781" s="660"/>
      <c r="E781" s="660" t="s">
        <v>513</v>
      </c>
      <c r="F781" s="654" t="s">
        <v>518</v>
      </c>
      <c r="G781" s="660" t="s">
        <v>605</v>
      </c>
      <c r="H781" s="663" t="s">
        <v>599</v>
      </c>
      <c r="I781" s="660" t="s">
        <v>516</v>
      </c>
      <c r="J781" s="662">
        <v>-48000</v>
      </c>
    </row>
    <row r="782" spans="1:10" s="549" customFormat="1" ht="13.5">
      <c r="A782" s="679"/>
      <c r="B782" s="680"/>
      <c r="C782" s="679">
        <v>132</v>
      </c>
      <c r="D782" s="679"/>
      <c r="E782" s="681"/>
      <c r="F782" s="681"/>
      <c r="G782" s="679">
        <v>31</v>
      </c>
      <c r="H782" s="681"/>
      <c r="I782" s="679"/>
      <c r="J782" s="682">
        <f>SUM(J780:J781)</f>
        <v>-95800</v>
      </c>
    </row>
    <row r="783" spans="1:10" ht="13.5">
      <c r="A783" s="660"/>
      <c r="B783" s="661"/>
      <c r="C783" s="660"/>
      <c r="D783" s="663"/>
      <c r="E783" s="660" t="s">
        <v>517</v>
      </c>
      <c r="F783" s="663"/>
      <c r="G783" s="660" t="s">
        <v>605</v>
      </c>
      <c r="H783" s="663" t="s">
        <v>735</v>
      </c>
      <c r="I783" s="660" t="s">
        <v>516</v>
      </c>
      <c r="J783" s="662">
        <v>100</v>
      </c>
    </row>
    <row r="784" spans="1:10" ht="13.5">
      <c r="A784" s="660"/>
      <c r="B784" s="661"/>
      <c r="C784" s="660"/>
      <c r="D784" s="663"/>
      <c r="E784" s="660" t="s">
        <v>517</v>
      </c>
      <c r="F784" s="663"/>
      <c r="G784" s="660" t="s">
        <v>605</v>
      </c>
      <c r="H784" s="663" t="s">
        <v>736</v>
      </c>
      <c r="I784" s="660" t="s">
        <v>516</v>
      </c>
      <c r="J784" s="662">
        <v>24000</v>
      </c>
    </row>
    <row r="785" spans="1:10" ht="13.5">
      <c r="A785" s="660"/>
      <c r="B785" s="661"/>
      <c r="C785" s="660"/>
      <c r="D785" s="663"/>
      <c r="E785" s="660" t="s">
        <v>517</v>
      </c>
      <c r="F785" s="663"/>
      <c r="G785" s="660" t="s">
        <v>605</v>
      </c>
      <c r="H785" s="663" t="s">
        <v>620</v>
      </c>
      <c r="I785" s="660" t="s">
        <v>516</v>
      </c>
      <c r="J785" s="662">
        <v>200</v>
      </c>
    </row>
    <row r="786" spans="1:10" ht="13.5">
      <c r="A786" s="660"/>
      <c r="B786" s="661"/>
      <c r="C786" s="660"/>
      <c r="D786" s="663"/>
      <c r="E786" s="660" t="s">
        <v>517</v>
      </c>
      <c r="F786" s="663"/>
      <c r="G786" s="660" t="s">
        <v>605</v>
      </c>
      <c r="H786" s="663" t="s">
        <v>621</v>
      </c>
      <c r="I786" s="660" t="s">
        <v>516</v>
      </c>
      <c r="J786" s="662">
        <v>500</v>
      </c>
    </row>
    <row r="787" spans="1:10" ht="13.5">
      <c r="A787" s="660"/>
      <c r="B787" s="661"/>
      <c r="C787" s="660"/>
      <c r="D787" s="663"/>
      <c r="E787" s="660" t="s">
        <v>517</v>
      </c>
      <c r="F787" s="663"/>
      <c r="G787" s="660" t="s">
        <v>605</v>
      </c>
      <c r="H787" s="663" t="s">
        <v>737</v>
      </c>
      <c r="I787" s="660" t="s">
        <v>516</v>
      </c>
      <c r="J787" s="662">
        <v>20000</v>
      </c>
    </row>
    <row r="788" spans="1:10" ht="13.5">
      <c r="A788" s="660"/>
      <c r="B788" s="661"/>
      <c r="C788" s="660"/>
      <c r="D788" s="663"/>
      <c r="E788" s="660" t="s">
        <v>517</v>
      </c>
      <c r="F788" s="663"/>
      <c r="G788" s="660" t="s">
        <v>605</v>
      </c>
      <c r="H788" s="663" t="s">
        <v>738</v>
      </c>
      <c r="I788" s="660" t="s">
        <v>516</v>
      </c>
      <c r="J788" s="662">
        <v>3000</v>
      </c>
    </row>
    <row r="789" spans="1:10" ht="13.5">
      <c r="A789" s="660"/>
      <c r="B789" s="661"/>
      <c r="C789" s="660"/>
      <c r="D789" s="663"/>
      <c r="E789" s="660" t="s">
        <v>517</v>
      </c>
      <c r="F789" s="663"/>
      <c r="G789" s="660" t="s">
        <v>605</v>
      </c>
      <c r="H789" s="663" t="s">
        <v>702</v>
      </c>
      <c r="I789" s="660" t="s">
        <v>516</v>
      </c>
      <c r="J789" s="662">
        <v>48000</v>
      </c>
    </row>
    <row r="790" spans="1:10" s="587" customFormat="1" ht="13.5">
      <c r="A790" s="667"/>
      <c r="B790" s="683"/>
      <c r="C790" s="667" t="s">
        <v>541</v>
      </c>
      <c r="D790" s="665"/>
      <c r="E790" s="665"/>
      <c r="F790" s="665"/>
      <c r="G790" s="667" t="s">
        <v>605</v>
      </c>
      <c r="H790" s="665"/>
      <c r="I790" s="667"/>
      <c r="J790" s="668">
        <f>SUM(J783:J789)</f>
        <v>95800</v>
      </c>
    </row>
    <row r="791" spans="1:10" s="652" customFormat="1" ht="13.5">
      <c r="A791" s="673" t="s">
        <v>739</v>
      </c>
      <c r="B791" s="684"/>
      <c r="C791" s="685"/>
      <c r="D791" s="685"/>
      <c r="E791" s="685"/>
      <c r="F791" s="685"/>
      <c r="G791" s="686" t="s">
        <v>605</v>
      </c>
      <c r="H791" s="685"/>
      <c r="I791" s="685"/>
      <c r="J791" s="687">
        <f>SUM(J790,J782)</f>
        <v>0</v>
      </c>
    </row>
    <row r="792" spans="1:10" ht="13.5">
      <c r="A792" s="559"/>
      <c r="B792" s="559"/>
      <c r="C792" s="559"/>
      <c r="D792" s="559"/>
      <c r="E792" s="559"/>
      <c r="F792" s="559"/>
      <c r="G792" s="559"/>
      <c r="H792" s="559"/>
      <c r="I792" s="559"/>
      <c r="J792" s="678"/>
    </row>
    <row r="793" spans="1:10" ht="13.5">
      <c r="A793" s="660" t="s">
        <v>740</v>
      </c>
      <c r="B793" s="661">
        <v>41564</v>
      </c>
      <c r="C793" s="660" t="s">
        <v>541</v>
      </c>
      <c r="D793" s="660" t="s">
        <v>741</v>
      </c>
      <c r="E793" s="660" t="s">
        <v>517</v>
      </c>
      <c r="F793" s="543" t="s">
        <v>514</v>
      </c>
      <c r="G793" s="660" t="s">
        <v>667</v>
      </c>
      <c r="H793" s="660" t="s">
        <v>584</v>
      </c>
      <c r="I793" s="660" t="s">
        <v>516</v>
      </c>
      <c r="J793" s="662">
        <v>1000</v>
      </c>
    </row>
    <row r="794" spans="1:10" ht="13.5">
      <c r="A794" s="660"/>
      <c r="B794" s="661"/>
      <c r="C794" s="660"/>
      <c r="D794" s="660"/>
      <c r="E794" s="660" t="s">
        <v>517</v>
      </c>
      <c r="F794" s="654" t="s">
        <v>518</v>
      </c>
      <c r="G794" s="660" t="s">
        <v>667</v>
      </c>
      <c r="H794" s="660" t="s">
        <v>700</v>
      </c>
      <c r="I794" s="660" t="s">
        <v>516</v>
      </c>
      <c r="J794" s="662">
        <v>1500</v>
      </c>
    </row>
    <row r="795" spans="1:10" ht="13.5">
      <c r="A795" s="660"/>
      <c r="B795" s="661"/>
      <c r="C795" s="660"/>
      <c r="D795" s="660"/>
      <c r="E795" s="660" t="s">
        <v>517</v>
      </c>
      <c r="F795" s="660"/>
      <c r="G795" s="660" t="s">
        <v>667</v>
      </c>
      <c r="H795" s="660" t="s">
        <v>706</v>
      </c>
      <c r="I795" s="660" t="s">
        <v>516</v>
      </c>
      <c r="J795" s="662">
        <v>800</v>
      </c>
    </row>
    <row r="796" spans="1:10" ht="13.5">
      <c r="A796" s="660"/>
      <c r="B796" s="661"/>
      <c r="C796" s="660"/>
      <c r="D796" s="660"/>
      <c r="E796" s="660" t="s">
        <v>517</v>
      </c>
      <c r="F796" s="660"/>
      <c r="G796" s="660" t="s">
        <v>667</v>
      </c>
      <c r="H796" s="660" t="s">
        <v>620</v>
      </c>
      <c r="I796" s="660" t="s">
        <v>516</v>
      </c>
      <c r="J796" s="662">
        <v>12000</v>
      </c>
    </row>
    <row r="797" spans="1:10" ht="13.5">
      <c r="A797" s="660"/>
      <c r="B797" s="661"/>
      <c r="C797" s="660"/>
      <c r="D797" s="660"/>
      <c r="E797" s="660" t="s">
        <v>517</v>
      </c>
      <c r="F797" s="660"/>
      <c r="G797" s="660" t="s">
        <v>667</v>
      </c>
      <c r="H797" s="660" t="s">
        <v>696</v>
      </c>
      <c r="I797" s="660" t="s">
        <v>516</v>
      </c>
      <c r="J797" s="662">
        <v>6500</v>
      </c>
    </row>
    <row r="798" spans="1:10" ht="13.5">
      <c r="A798" s="660"/>
      <c r="B798" s="661"/>
      <c r="C798" s="660"/>
      <c r="D798" s="660"/>
      <c r="E798" s="660" t="s">
        <v>517</v>
      </c>
      <c r="F798" s="660"/>
      <c r="G798" s="660" t="s">
        <v>667</v>
      </c>
      <c r="H798" s="660" t="s">
        <v>524</v>
      </c>
      <c r="I798" s="660" t="s">
        <v>516</v>
      </c>
      <c r="J798" s="662">
        <v>322</v>
      </c>
    </row>
    <row r="799" spans="1:10" ht="13.5">
      <c r="A799" s="660"/>
      <c r="B799" s="661"/>
      <c r="C799" s="660"/>
      <c r="D799" s="660"/>
      <c r="E799" s="660" t="s">
        <v>517</v>
      </c>
      <c r="F799" s="660"/>
      <c r="G799" s="660" t="s">
        <v>667</v>
      </c>
      <c r="H799" s="660" t="s">
        <v>525</v>
      </c>
      <c r="I799" s="660" t="s">
        <v>516</v>
      </c>
      <c r="J799" s="662">
        <v>1824</v>
      </c>
    </row>
    <row r="800" spans="1:10" s="587" customFormat="1" ht="13.5">
      <c r="A800" s="667"/>
      <c r="B800" s="683"/>
      <c r="C800" s="667" t="s">
        <v>541</v>
      </c>
      <c r="D800" s="667"/>
      <c r="E800" s="667"/>
      <c r="F800" s="667"/>
      <c r="G800" s="667" t="s">
        <v>667</v>
      </c>
      <c r="H800" s="667"/>
      <c r="I800" s="667"/>
      <c r="J800" s="668">
        <v>23946</v>
      </c>
    </row>
    <row r="801" spans="1:10" ht="13.5">
      <c r="A801" s="660"/>
      <c r="B801" s="661"/>
      <c r="C801" s="660" t="s">
        <v>541</v>
      </c>
      <c r="D801" s="660"/>
      <c r="E801" s="660" t="s">
        <v>517</v>
      </c>
      <c r="F801" s="660"/>
      <c r="G801" s="660" t="s">
        <v>657</v>
      </c>
      <c r="H801" s="660" t="s">
        <v>655</v>
      </c>
      <c r="I801" s="660" t="s">
        <v>516</v>
      </c>
      <c r="J801" s="662">
        <v>900</v>
      </c>
    </row>
    <row r="802" spans="1:10" ht="13.5">
      <c r="A802" s="660"/>
      <c r="B802" s="661"/>
      <c r="C802" s="660" t="s">
        <v>541</v>
      </c>
      <c r="D802" s="660"/>
      <c r="E802" s="660" t="s">
        <v>517</v>
      </c>
      <c r="F802" s="660"/>
      <c r="G802" s="660" t="s">
        <v>657</v>
      </c>
      <c r="H802" s="660" t="s">
        <v>531</v>
      </c>
      <c r="I802" s="660" t="s">
        <v>516</v>
      </c>
      <c r="J802" s="662">
        <v>5000</v>
      </c>
    </row>
    <row r="803" spans="1:10" ht="13.5">
      <c r="A803" s="660"/>
      <c r="B803" s="661"/>
      <c r="C803" s="660" t="s">
        <v>541</v>
      </c>
      <c r="D803" s="660"/>
      <c r="E803" s="660" t="s">
        <v>517</v>
      </c>
      <c r="F803" s="660"/>
      <c r="G803" s="660" t="s">
        <v>657</v>
      </c>
      <c r="H803" s="660" t="s">
        <v>524</v>
      </c>
      <c r="I803" s="660" t="s">
        <v>516</v>
      </c>
      <c r="J803" s="662">
        <v>5290</v>
      </c>
    </row>
    <row r="804" spans="1:10" s="587" customFormat="1" ht="13.5">
      <c r="A804" s="667"/>
      <c r="B804" s="683"/>
      <c r="C804" s="667" t="s">
        <v>541</v>
      </c>
      <c r="D804" s="667"/>
      <c r="E804" s="667"/>
      <c r="F804" s="667"/>
      <c r="G804" s="667" t="s">
        <v>657</v>
      </c>
      <c r="H804" s="667"/>
      <c r="I804" s="667"/>
      <c r="J804" s="668">
        <v>11190</v>
      </c>
    </row>
    <row r="805" spans="1:10" ht="13.5">
      <c r="A805" s="660"/>
      <c r="B805" s="661"/>
      <c r="C805" s="660" t="s">
        <v>541</v>
      </c>
      <c r="D805" s="660"/>
      <c r="E805" s="660" t="s">
        <v>513</v>
      </c>
      <c r="F805" s="660"/>
      <c r="G805" s="660" t="s">
        <v>605</v>
      </c>
      <c r="H805" s="660" t="s">
        <v>654</v>
      </c>
      <c r="I805" s="660" t="s">
        <v>516</v>
      </c>
      <c r="J805" s="662">
        <v>-50407</v>
      </c>
    </row>
    <row r="806" spans="1:10" s="587" customFormat="1" ht="13.5">
      <c r="A806" s="667"/>
      <c r="B806" s="683"/>
      <c r="C806" s="667" t="s">
        <v>541</v>
      </c>
      <c r="D806" s="667"/>
      <c r="E806" s="667"/>
      <c r="F806" s="667"/>
      <c r="G806" s="667" t="s">
        <v>605</v>
      </c>
      <c r="H806" s="667"/>
      <c r="I806" s="667"/>
      <c r="J806" s="668">
        <v>-50407</v>
      </c>
    </row>
    <row r="807" spans="1:10" ht="13.5">
      <c r="A807" s="660"/>
      <c r="B807" s="661"/>
      <c r="C807" s="660" t="s">
        <v>541</v>
      </c>
      <c r="D807" s="660"/>
      <c r="E807" s="660" t="s">
        <v>517</v>
      </c>
      <c r="F807" s="660"/>
      <c r="G807" s="660" t="s">
        <v>697</v>
      </c>
      <c r="H807" s="660" t="s">
        <v>655</v>
      </c>
      <c r="I807" s="660" t="s">
        <v>516</v>
      </c>
      <c r="J807" s="662">
        <v>3500</v>
      </c>
    </row>
    <row r="808" spans="1:10" s="587" customFormat="1" ht="13.5">
      <c r="A808" s="667"/>
      <c r="B808" s="683"/>
      <c r="C808" s="667" t="s">
        <v>541</v>
      </c>
      <c r="D808" s="667"/>
      <c r="E808" s="667"/>
      <c r="F808" s="667"/>
      <c r="G808" s="667" t="s">
        <v>697</v>
      </c>
      <c r="H808" s="667"/>
      <c r="I808" s="667"/>
      <c r="J808" s="668">
        <v>3500</v>
      </c>
    </row>
    <row r="809" spans="1:10" ht="13.5">
      <c r="A809" s="660"/>
      <c r="B809" s="661"/>
      <c r="C809" s="660" t="s">
        <v>541</v>
      </c>
      <c r="D809" s="660"/>
      <c r="E809" s="660" t="s">
        <v>517</v>
      </c>
      <c r="F809" s="660"/>
      <c r="G809" s="660" t="s">
        <v>742</v>
      </c>
      <c r="H809" s="660" t="s">
        <v>656</v>
      </c>
      <c r="I809" s="660" t="s">
        <v>516</v>
      </c>
      <c r="J809" s="662">
        <v>3200</v>
      </c>
    </row>
    <row r="810" spans="1:10" ht="13.5">
      <c r="A810" s="660"/>
      <c r="B810" s="661"/>
      <c r="C810" s="660" t="s">
        <v>541</v>
      </c>
      <c r="D810" s="660"/>
      <c r="E810" s="660" t="s">
        <v>517</v>
      </c>
      <c r="F810" s="660"/>
      <c r="G810" s="660" t="s">
        <v>742</v>
      </c>
      <c r="H810" s="660" t="s">
        <v>655</v>
      </c>
      <c r="I810" s="660" t="s">
        <v>516</v>
      </c>
      <c r="J810" s="662">
        <v>2300</v>
      </c>
    </row>
    <row r="811" spans="1:10" ht="13.5">
      <c r="A811" s="660"/>
      <c r="B811" s="661"/>
      <c r="C811" s="660" t="s">
        <v>541</v>
      </c>
      <c r="D811" s="660"/>
      <c r="E811" s="660" t="s">
        <v>517</v>
      </c>
      <c r="F811" s="660"/>
      <c r="G811" s="660" t="s">
        <v>742</v>
      </c>
      <c r="H811" s="660" t="s">
        <v>663</v>
      </c>
      <c r="I811" s="660" t="s">
        <v>516</v>
      </c>
      <c r="J811" s="662">
        <v>400</v>
      </c>
    </row>
    <row r="812" spans="1:10" ht="13.5">
      <c r="A812" s="660"/>
      <c r="B812" s="661"/>
      <c r="C812" s="660" t="s">
        <v>541</v>
      </c>
      <c r="D812" s="660"/>
      <c r="E812" s="660" t="s">
        <v>517</v>
      </c>
      <c r="F812" s="660"/>
      <c r="G812" s="660" t="s">
        <v>742</v>
      </c>
      <c r="H812" s="660" t="s">
        <v>523</v>
      </c>
      <c r="I812" s="660" t="s">
        <v>516</v>
      </c>
      <c r="J812" s="662">
        <v>4671</v>
      </c>
    </row>
    <row r="813" spans="1:10" ht="13.5">
      <c r="A813" s="660"/>
      <c r="B813" s="661"/>
      <c r="C813" s="660" t="s">
        <v>541</v>
      </c>
      <c r="D813" s="660"/>
      <c r="E813" s="660" t="s">
        <v>517</v>
      </c>
      <c r="F813" s="660"/>
      <c r="G813" s="660" t="s">
        <v>742</v>
      </c>
      <c r="H813" s="660" t="s">
        <v>736</v>
      </c>
      <c r="I813" s="660" t="s">
        <v>516</v>
      </c>
      <c r="J813" s="662">
        <v>1200</v>
      </c>
    </row>
    <row r="814" spans="1:10" s="587" customFormat="1" ht="13.5">
      <c r="A814" s="673" t="s">
        <v>743</v>
      </c>
      <c r="B814" s="688"/>
      <c r="C814" s="675" t="s">
        <v>541</v>
      </c>
      <c r="D814" s="675"/>
      <c r="E814" s="675"/>
      <c r="F814" s="675"/>
      <c r="G814" s="675" t="s">
        <v>742</v>
      </c>
      <c r="H814" s="675"/>
      <c r="I814" s="675"/>
      <c r="J814" s="677">
        <v>11771</v>
      </c>
    </row>
    <row r="815" spans="1:10" s="587" customFormat="1" ht="13.5">
      <c r="A815" s="689"/>
      <c r="B815" s="683"/>
      <c r="C815" s="667"/>
      <c r="D815" s="667"/>
      <c r="E815" s="667"/>
      <c r="F815" s="667"/>
      <c r="G815" s="667"/>
      <c r="H815" s="667"/>
      <c r="I815" s="667"/>
      <c r="J815" s="668"/>
    </row>
    <row r="816" spans="1:10" s="587" customFormat="1" ht="13.5">
      <c r="A816" s="690">
        <v>436</v>
      </c>
      <c r="B816" s="691">
        <v>41575</v>
      </c>
      <c r="C816" s="692">
        <v>132</v>
      </c>
      <c r="D816" s="692" t="s">
        <v>744</v>
      </c>
      <c r="E816" s="692" t="s">
        <v>513</v>
      </c>
      <c r="F816" s="543" t="s">
        <v>514</v>
      </c>
      <c r="G816" s="692">
        <v>120</v>
      </c>
      <c r="H816" s="692" t="s">
        <v>745</v>
      </c>
      <c r="I816" s="692" t="s">
        <v>746</v>
      </c>
      <c r="J816" s="693">
        <v>-775</v>
      </c>
    </row>
    <row r="817" spans="1:10" s="587" customFormat="1" ht="13.5">
      <c r="A817" s="689"/>
      <c r="B817" s="683"/>
      <c r="C817" s="667"/>
      <c r="D817" s="667"/>
      <c r="E817" s="667"/>
      <c r="F817" s="654" t="s">
        <v>518</v>
      </c>
      <c r="G817" s="667"/>
      <c r="H817" s="692" t="s">
        <v>688</v>
      </c>
      <c r="I817" s="692" t="s">
        <v>746</v>
      </c>
      <c r="J817" s="693">
        <v>-415</v>
      </c>
    </row>
    <row r="818" spans="1:10" s="587" customFormat="1" ht="13.5">
      <c r="A818" s="689"/>
      <c r="B818" s="691"/>
      <c r="C818" s="692"/>
      <c r="D818" s="692"/>
      <c r="E818" s="692"/>
      <c r="F818" s="692"/>
      <c r="G818" s="692"/>
      <c r="H818" s="692" t="s">
        <v>747</v>
      </c>
      <c r="I818" s="692" t="s">
        <v>746</v>
      </c>
      <c r="J818" s="693">
        <v>-66</v>
      </c>
    </row>
    <row r="819" spans="1:10" s="587" customFormat="1" ht="13.5">
      <c r="A819" s="689"/>
      <c r="B819" s="691"/>
      <c r="C819" s="692"/>
      <c r="D819" s="692"/>
      <c r="E819" s="692" t="s">
        <v>517</v>
      </c>
      <c r="F819" s="692"/>
      <c r="G819" s="692"/>
      <c r="H819" s="692" t="s">
        <v>702</v>
      </c>
      <c r="I819" s="692" t="s">
        <v>746</v>
      </c>
      <c r="J819" s="693">
        <v>1256</v>
      </c>
    </row>
    <row r="820" spans="1:10" s="587" customFormat="1" ht="13.5">
      <c r="A820" s="689" t="s">
        <v>748</v>
      </c>
      <c r="B820" s="683"/>
      <c r="C820" s="667">
        <v>132</v>
      </c>
      <c r="D820" s="667"/>
      <c r="E820" s="667"/>
      <c r="F820" s="667"/>
      <c r="G820" s="667">
        <v>120</v>
      </c>
      <c r="H820" s="667"/>
      <c r="I820" s="667"/>
      <c r="J820" s="668">
        <f>SUM(J816:J819)</f>
        <v>0</v>
      </c>
    </row>
    <row r="821" spans="1:10" ht="13.5">
      <c r="A821" s="559"/>
      <c r="B821" s="559"/>
      <c r="C821" s="559"/>
      <c r="D821" s="559"/>
      <c r="E821" s="559"/>
      <c r="F821" s="559"/>
      <c r="G821" s="559"/>
      <c r="H821" s="559"/>
      <c r="I821" s="559"/>
      <c r="J821" s="559"/>
    </row>
    <row r="822" spans="1:10" ht="13.5">
      <c r="A822" s="660" t="s">
        <v>749</v>
      </c>
      <c r="B822" s="661">
        <v>41577</v>
      </c>
      <c r="C822" s="660" t="s">
        <v>541</v>
      </c>
      <c r="D822" s="660" t="s">
        <v>750</v>
      </c>
      <c r="E822" s="660" t="s">
        <v>517</v>
      </c>
      <c r="F822" s="543" t="s">
        <v>514</v>
      </c>
      <c r="G822" s="660" t="s">
        <v>667</v>
      </c>
      <c r="H822" s="660" t="s">
        <v>677</v>
      </c>
      <c r="I822" s="660" t="s">
        <v>516</v>
      </c>
      <c r="J822" s="662">
        <v>500</v>
      </c>
    </row>
    <row r="823" spans="1:10" ht="13.5">
      <c r="A823" s="660"/>
      <c r="B823" s="661"/>
      <c r="C823" s="660"/>
      <c r="D823" s="660"/>
      <c r="E823" s="660" t="s">
        <v>513</v>
      </c>
      <c r="F823" s="654" t="s">
        <v>518</v>
      </c>
      <c r="G823" s="660" t="s">
        <v>667</v>
      </c>
      <c r="H823" s="660" t="s">
        <v>603</v>
      </c>
      <c r="I823" s="660" t="s">
        <v>516</v>
      </c>
      <c r="J823" s="662">
        <v>-300</v>
      </c>
    </row>
    <row r="824" spans="1:10" s="587" customFormat="1" ht="13.5">
      <c r="A824" s="667"/>
      <c r="B824" s="683"/>
      <c r="C824" s="667" t="s">
        <v>541</v>
      </c>
      <c r="D824" s="667"/>
      <c r="E824" s="667"/>
      <c r="F824" s="667"/>
      <c r="G824" s="667" t="s">
        <v>667</v>
      </c>
      <c r="H824" s="667"/>
      <c r="I824" s="667"/>
      <c r="J824" s="668">
        <v>200</v>
      </c>
    </row>
    <row r="825" spans="1:10" ht="13.5">
      <c r="A825" s="660"/>
      <c r="B825" s="661"/>
      <c r="C825" s="660" t="s">
        <v>541</v>
      </c>
      <c r="D825" s="660"/>
      <c r="E825" s="660" t="s">
        <v>517</v>
      </c>
      <c r="F825" s="660"/>
      <c r="G825" s="660" t="s">
        <v>600</v>
      </c>
      <c r="H825" s="660" t="s">
        <v>603</v>
      </c>
      <c r="I825" s="660" t="s">
        <v>516</v>
      </c>
      <c r="J825" s="662">
        <v>300</v>
      </c>
    </row>
    <row r="826" spans="1:10" s="587" customFormat="1" ht="13.5">
      <c r="A826" s="667"/>
      <c r="B826" s="683"/>
      <c r="C826" s="667" t="s">
        <v>541</v>
      </c>
      <c r="D826" s="667"/>
      <c r="E826" s="667"/>
      <c r="F826" s="667"/>
      <c r="G826" s="667" t="s">
        <v>600</v>
      </c>
      <c r="H826" s="667"/>
      <c r="I826" s="667"/>
      <c r="J826" s="668">
        <v>300</v>
      </c>
    </row>
    <row r="827" spans="1:10" ht="13.5">
      <c r="A827" s="660"/>
      <c r="B827" s="661"/>
      <c r="C827" s="660" t="s">
        <v>541</v>
      </c>
      <c r="D827" s="660"/>
      <c r="E827" s="660" t="s">
        <v>513</v>
      </c>
      <c r="F827" s="660"/>
      <c r="G827" s="660" t="s">
        <v>668</v>
      </c>
      <c r="H827" s="660" t="s">
        <v>677</v>
      </c>
      <c r="I827" s="660" t="s">
        <v>516</v>
      </c>
      <c r="J827" s="662">
        <v>-800</v>
      </c>
    </row>
    <row r="828" spans="1:10" ht="13.5">
      <c r="A828" s="660"/>
      <c r="B828" s="661"/>
      <c r="C828" s="660"/>
      <c r="D828" s="660"/>
      <c r="E828" s="660" t="s">
        <v>517</v>
      </c>
      <c r="F828" s="660"/>
      <c r="G828" s="660" t="s">
        <v>668</v>
      </c>
      <c r="H828" s="660" t="s">
        <v>751</v>
      </c>
      <c r="I828" s="660" t="s">
        <v>516</v>
      </c>
      <c r="J828" s="662">
        <v>30574</v>
      </c>
    </row>
    <row r="829" spans="1:10" s="587" customFormat="1" ht="13.5">
      <c r="A829" s="667"/>
      <c r="B829" s="683"/>
      <c r="C829" s="667" t="s">
        <v>541</v>
      </c>
      <c r="D829" s="667"/>
      <c r="E829" s="667"/>
      <c r="F829" s="667"/>
      <c r="G829" s="667" t="s">
        <v>668</v>
      </c>
      <c r="H829" s="667"/>
      <c r="I829" s="667"/>
      <c r="J829" s="668">
        <v>29774</v>
      </c>
    </row>
    <row r="830" spans="1:10" ht="13.5">
      <c r="A830" s="660"/>
      <c r="B830" s="661"/>
      <c r="C830" s="660" t="s">
        <v>541</v>
      </c>
      <c r="D830" s="660"/>
      <c r="E830" s="660" t="s">
        <v>517</v>
      </c>
      <c r="F830" s="660"/>
      <c r="G830" s="660" t="s">
        <v>752</v>
      </c>
      <c r="H830" s="660" t="s">
        <v>677</v>
      </c>
      <c r="I830" s="660" t="s">
        <v>516</v>
      </c>
      <c r="J830" s="662">
        <v>300</v>
      </c>
    </row>
    <row r="831" spans="1:10" s="587" customFormat="1" ht="13.5">
      <c r="A831" s="667"/>
      <c r="B831" s="683"/>
      <c r="C831" s="667" t="s">
        <v>541</v>
      </c>
      <c r="D831" s="667"/>
      <c r="E831" s="667"/>
      <c r="F831" s="667"/>
      <c r="G831" s="667" t="s">
        <v>752</v>
      </c>
      <c r="H831" s="667"/>
      <c r="I831" s="667"/>
      <c r="J831" s="668">
        <v>300</v>
      </c>
    </row>
    <row r="832" spans="1:10" ht="13.5">
      <c r="A832" s="660"/>
      <c r="B832" s="661"/>
      <c r="C832" s="660" t="s">
        <v>541</v>
      </c>
      <c r="D832" s="660"/>
      <c r="E832" s="660" t="s">
        <v>517</v>
      </c>
      <c r="F832" s="660"/>
      <c r="G832" s="660" t="s">
        <v>657</v>
      </c>
      <c r="H832" s="660" t="s">
        <v>677</v>
      </c>
      <c r="I832" s="660" t="s">
        <v>516</v>
      </c>
      <c r="J832" s="662">
        <v>200</v>
      </c>
    </row>
    <row r="833" spans="1:10" ht="13.5">
      <c r="A833" s="660"/>
      <c r="B833" s="661"/>
      <c r="C833" s="660"/>
      <c r="D833" s="660"/>
      <c r="E833" s="660" t="s">
        <v>513</v>
      </c>
      <c r="F833" s="660"/>
      <c r="G833" s="660" t="s">
        <v>657</v>
      </c>
      <c r="H833" s="660" t="s">
        <v>603</v>
      </c>
      <c r="I833" s="660" t="s">
        <v>516</v>
      </c>
      <c r="J833" s="662">
        <v>-1000</v>
      </c>
    </row>
    <row r="834" spans="1:10" s="587" customFormat="1" ht="13.5">
      <c r="A834" s="667"/>
      <c r="B834" s="683"/>
      <c r="C834" s="667" t="s">
        <v>541</v>
      </c>
      <c r="D834" s="667"/>
      <c r="E834" s="667"/>
      <c r="F834" s="667"/>
      <c r="G834" s="667" t="s">
        <v>657</v>
      </c>
      <c r="H834" s="667"/>
      <c r="I834" s="667"/>
      <c r="J834" s="668">
        <v>-800</v>
      </c>
    </row>
    <row r="835" spans="1:10" ht="13.5">
      <c r="A835" s="660"/>
      <c r="B835" s="661"/>
      <c r="C835" s="660" t="s">
        <v>541</v>
      </c>
      <c r="D835" s="660"/>
      <c r="E835" s="660" t="s">
        <v>513</v>
      </c>
      <c r="F835" s="660"/>
      <c r="G835" s="660" t="s">
        <v>605</v>
      </c>
      <c r="H835" s="660" t="s">
        <v>654</v>
      </c>
      <c r="I835" s="660" t="s">
        <v>516</v>
      </c>
      <c r="J835" s="662">
        <v>-30574</v>
      </c>
    </row>
    <row r="836" spans="1:10" s="587" customFormat="1" ht="13.5">
      <c r="A836" s="667"/>
      <c r="B836" s="683"/>
      <c r="C836" s="667" t="s">
        <v>541</v>
      </c>
      <c r="D836" s="667"/>
      <c r="E836" s="667"/>
      <c r="F836" s="667"/>
      <c r="G836" s="667" t="s">
        <v>605</v>
      </c>
      <c r="H836" s="667"/>
      <c r="I836" s="667"/>
      <c r="J836" s="668">
        <v>-30574</v>
      </c>
    </row>
    <row r="837" spans="1:10" ht="13.5">
      <c r="A837" s="660"/>
      <c r="B837" s="661"/>
      <c r="C837" s="660" t="s">
        <v>541</v>
      </c>
      <c r="D837" s="660"/>
      <c r="E837" s="660" t="s">
        <v>517</v>
      </c>
      <c r="F837" s="660"/>
      <c r="G837" s="660" t="s">
        <v>608</v>
      </c>
      <c r="H837" s="660" t="s">
        <v>677</v>
      </c>
      <c r="I837" s="660" t="s">
        <v>516</v>
      </c>
      <c r="J837" s="662">
        <v>635</v>
      </c>
    </row>
    <row r="838" spans="1:10" s="587" customFormat="1" ht="13.5">
      <c r="A838" s="667"/>
      <c r="B838" s="683"/>
      <c r="C838" s="667" t="s">
        <v>541</v>
      </c>
      <c r="D838" s="667"/>
      <c r="E838" s="667"/>
      <c r="F838" s="667"/>
      <c r="G838" s="667" t="s">
        <v>608</v>
      </c>
      <c r="H838" s="667"/>
      <c r="I838" s="667"/>
      <c r="J838" s="668">
        <v>635</v>
      </c>
    </row>
    <row r="839" spans="1:10" ht="13.5">
      <c r="A839" s="660"/>
      <c r="B839" s="661"/>
      <c r="C839" s="660" t="s">
        <v>541</v>
      </c>
      <c r="D839" s="660"/>
      <c r="E839" s="660" t="s">
        <v>513</v>
      </c>
      <c r="F839" s="660"/>
      <c r="G839" s="660" t="s">
        <v>753</v>
      </c>
      <c r="H839" s="660" t="s">
        <v>677</v>
      </c>
      <c r="I839" s="660" t="s">
        <v>516</v>
      </c>
      <c r="J839" s="662">
        <v>-300</v>
      </c>
    </row>
    <row r="840" spans="1:10" s="587" customFormat="1" ht="13.5">
      <c r="A840" s="667"/>
      <c r="B840" s="683"/>
      <c r="C840" s="667" t="s">
        <v>541</v>
      </c>
      <c r="D840" s="667"/>
      <c r="E840" s="667"/>
      <c r="F840" s="667"/>
      <c r="G840" s="667" t="s">
        <v>753</v>
      </c>
      <c r="H840" s="667"/>
      <c r="I840" s="667"/>
      <c r="J840" s="668">
        <v>-300</v>
      </c>
    </row>
    <row r="841" spans="1:10" ht="13.5">
      <c r="A841" s="660"/>
      <c r="B841" s="661"/>
      <c r="C841" s="660" t="s">
        <v>541</v>
      </c>
      <c r="D841" s="660"/>
      <c r="E841" s="660" t="s">
        <v>513</v>
      </c>
      <c r="F841" s="660"/>
      <c r="G841" s="660" t="s">
        <v>697</v>
      </c>
      <c r="H841" s="660" t="s">
        <v>677</v>
      </c>
      <c r="I841" s="660" t="s">
        <v>516</v>
      </c>
      <c r="J841" s="662">
        <v>-135</v>
      </c>
    </row>
    <row r="842" spans="1:10" ht="13.5">
      <c r="A842" s="660"/>
      <c r="B842" s="661"/>
      <c r="C842" s="660" t="s">
        <v>541</v>
      </c>
      <c r="D842" s="660"/>
      <c r="E842" s="660" t="s">
        <v>513</v>
      </c>
      <c r="F842" s="660"/>
      <c r="G842" s="660" t="s">
        <v>697</v>
      </c>
      <c r="H842" s="660" t="s">
        <v>603</v>
      </c>
      <c r="I842" s="660" t="s">
        <v>516</v>
      </c>
      <c r="J842" s="662">
        <v>-1500</v>
      </c>
    </row>
    <row r="843" spans="1:10" s="587" customFormat="1" ht="13.5">
      <c r="A843" s="667"/>
      <c r="B843" s="683"/>
      <c r="C843" s="667" t="s">
        <v>541</v>
      </c>
      <c r="D843" s="667"/>
      <c r="E843" s="667"/>
      <c r="F843" s="667"/>
      <c r="G843" s="667" t="s">
        <v>697</v>
      </c>
      <c r="H843" s="667"/>
      <c r="I843" s="667"/>
      <c r="J843" s="668">
        <v>-1635</v>
      </c>
    </row>
    <row r="844" spans="1:10" ht="13.5">
      <c r="A844" s="660"/>
      <c r="B844" s="661"/>
      <c r="C844" s="660" t="s">
        <v>541</v>
      </c>
      <c r="D844" s="660"/>
      <c r="E844" s="660" t="s">
        <v>513</v>
      </c>
      <c r="F844" s="660"/>
      <c r="G844" s="660" t="s">
        <v>609</v>
      </c>
      <c r="H844" s="660" t="s">
        <v>677</v>
      </c>
      <c r="I844" s="660" t="s">
        <v>516</v>
      </c>
      <c r="J844" s="662">
        <v>-800</v>
      </c>
    </row>
    <row r="845" spans="1:10" ht="13.5">
      <c r="A845" s="660"/>
      <c r="B845" s="661"/>
      <c r="C845" s="660" t="s">
        <v>541</v>
      </c>
      <c r="D845" s="660"/>
      <c r="E845" s="660" t="s">
        <v>513</v>
      </c>
      <c r="F845" s="660"/>
      <c r="G845" s="660" t="s">
        <v>609</v>
      </c>
      <c r="H845" s="660" t="s">
        <v>603</v>
      </c>
      <c r="I845" s="660" t="s">
        <v>516</v>
      </c>
      <c r="J845" s="662">
        <v>-2000</v>
      </c>
    </row>
    <row r="846" spans="1:10" s="587" customFormat="1" ht="13.5">
      <c r="A846" s="667"/>
      <c r="B846" s="683"/>
      <c r="C846" s="667" t="s">
        <v>541</v>
      </c>
      <c r="D846" s="667"/>
      <c r="E846" s="667"/>
      <c r="F846" s="667"/>
      <c r="G846" s="667" t="s">
        <v>609</v>
      </c>
      <c r="H846" s="667"/>
      <c r="I846" s="667"/>
      <c r="J846" s="668">
        <v>-2800</v>
      </c>
    </row>
    <row r="847" spans="1:10" ht="13.5">
      <c r="A847" s="660"/>
      <c r="B847" s="661"/>
      <c r="C847" s="660" t="s">
        <v>541</v>
      </c>
      <c r="D847" s="660"/>
      <c r="E847" s="660" t="s">
        <v>513</v>
      </c>
      <c r="F847" s="660"/>
      <c r="G847" s="660" t="s">
        <v>698</v>
      </c>
      <c r="H847" s="660" t="s">
        <v>677</v>
      </c>
      <c r="I847" s="660" t="s">
        <v>516</v>
      </c>
      <c r="J847" s="662">
        <v>-500</v>
      </c>
    </row>
    <row r="848" spans="1:10" ht="13.5">
      <c r="A848" s="660"/>
      <c r="B848" s="661"/>
      <c r="C848" s="660" t="s">
        <v>541</v>
      </c>
      <c r="D848" s="660"/>
      <c r="E848" s="660" t="s">
        <v>513</v>
      </c>
      <c r="F848" s="660"/>
      <c r="G848" s="660" t="s">
        <v>698</v>
      </c>
      <c r="H848" s="660" t="s">
        <v>603</v>
      </c>
      <c r="I848" s="660" t="s">
        <v>516</v>
      </c>
      <c r="J848" s="662">
        <v>-2000</v>
      </c>
    </row>
    <row r="849" spans="1:10" s="587" customFormat="1" ht="13.5">
      <c r="A849" s="667"/>
      <c r="B849" s="683"/>
      <c r="C849" s="667" t="s">
        <v>541</v>
      </c>
      <c r="D849" s="667"/>
      <c r="E849" s="667"/>
      <c r="F849" s="667"/>
      <c r="G849" s="667" t="s">
        <v>698</v>
      </c>
      <c r="H849" s="667"/>
      <c r="I849" s="667"/>
      <c r="J849" s="668">
        <v>-2500</v>
      </c>
    </row>
    <row r="850" spans="1:10" ht="13.5">
      <c r="A850" s="660"/>
      <c r="B850" s="661"/>
      <c r="C850" s="660" t="s">
        <v>541</v>
      </c>
      <c r="D850" s="660"/>
      <c r="E850" s="660" t="s">
        <v>513</v>
      </c>
      <c r="F850" s="660"/>
      <c r="G850" s="660" t="s">
        <v>754</v>
      </c>
      <c r="H850" s="660" t="s">
        <v>603</v>
      </c>
      <c r="I850" s="660" t="s">
        <v>516</v>
      </c>
      <c r="J850" s="662">
        <v>-1500</v>
      </c>
    </row>
    <row r="851" spans="1:10" s="587" customFormat="1" ht="13.5">
      <c r="A851" s="667"/>
      <c r="B851" s="683"/>
      <c r="C851" s="667" t="s">
        <v>541</v>
      </c>
      <c r="D851" s="667"/>
      <c r="E851" s="667"/>
      <c r="F851" s="667"/>
      <c r="G851" s="667" t="s">
        <v>754</v>
      </c>
      <c r="H851" s="667"/>
      <c r="I851" s="667"/>
      <c r="J851" s="668">
        <v>-1500</v>
      </c>
    </row>
    <row r="852" spans="1:10" ht="13.5">
      <c r="A852" s="660"/>
      <c r="B852" s="661"/>
      <c r="C852" s="660" t="s">
        <v>541</v>
      </c>
      <c r="D852" s="660"/>
      <c r="E852" s="660" t="s">
        <v>517</v>
      </c>
      <c r="F852" s="660"/>
      <c r="G852" s="660" t="s">
        <v>755</v>
      </c>
      <c r="H852" s="660" t="s">
        <v>677</v>
      </c>
      <c r="I852" s="660" t="s">
        <v>516</v>
      </c>
      <c r="J852" s="662">
        <v>100</v>
      </c>
    </row>
    <row r="853" spans="1:10" ht="13.5">
      <c r="A853" s="660"/>
      <c r="B853" s="661"/>
      <c r="C853" s="660" t="s">
        <v>541</v>
      </c>
      <c r="D853" s="660"/>
      <c r="E853" s="660" t="s">
        <v>513</v>
      </c>
      <c r="F853" s="660"/>
      <c r="G853" s="660" t="s">
        <v>755</v>
      </c>
      <c r="H853" s="660" t="s">
        <v>603</v>
      </c>
      <c r="I853" s="660" t="s">
        <v>516</v>
      </c>
      <c r="J853" s="662">
        <v>-1000</v>
      </c>
    </row>
    <row r="854" spans="1:10" s="587" customFormat="1" ht="13.5">
      <c r="A854" s="667"/>
      <c r="B854" s="683"/>
      <c r="C854" s="667" t="s">
        <v>541</v>
      </c>
      <c r="D854" s="667"/>
      <c r="E854" s="667"/>
      <c r="F854" s="667"/>
      <c r="G854" s="667" t="s">
        <v>755</v>
      </c>
      <c r="H854" s="667"/>
      <c r="I854" s="667"/>
      <c r="J854" s="668">
        <v>-900</v>
      </c>
    </row>
    <row r="855" spans="1:10" ht="13.5">
      <c r="A855" s="660"/>
      <c r="B855" s="661"/>
      <c r="C855" s="660" t="s">
        <v>541</v>
      </c>
      <c r="D855" s="660"/>
      <c r="E855" s="660" t="s">
        <v>513</v>
      </c>
      <c r="F855" s="660"/>
      <c r="G855" s="660" t="s">
        <v>699</v>
      </c>
      <c r="H855" s="660" t="s">
        <v>603</v>
      </c>
      <c r="I855" s="660" t="s">
        <v>516</v>
      </c>
      <c r="J855" s="662">
        <v>-1000</v>
      </c>
    </row>
    <row r="856" spans="1:10" s="587" customFormat="1" ht="13.5">
      <c r="A856" s="667"/>
      <c r="B856" s="683"/>
      <c r="C856" s="667" t="s">
        <v>541</v>
      </c>
      <c r="D856" s="667"/>
      <c r="E856" s="667"/>
      <c r="F856" s="667"/>
      <c r="G856" s="667" t="s">
        <v>699</v>
      </c>
      <c r="H856" s="667"/>
      <c r="I856" s="667"/>
      <c r="J856" s="668">
        <v>-1000</v>
      </c>
    </row>
    <row r="857" spans="1:10" ht="13.5">
      <c r="A857" s="660"/>
      <c r="B857" s="661"/>
      <c r="C857" s="660" t="s">
        <v>541</v>
      </c>
      <c r="D857" s="660"/>
      <c r="E857" s="660" t="s">
        <v>513</v>
      </c>
      <c r="F857" s="660"/>
      <c r="G857" s="660" t="s">
        <v>756</v>
      </c>
      <c r="H857" s="660" t="s">
        <v>603</v>
      </c>
      <c r="I857" s="660" t="s">
        <v>516</v>
      </c>
      <c r="J857" s="662">
        <v>-1000</v>
      </c>
    </row>
    <row r="858" spans="1:10" s="587" customFormat="1" ht="13.5">
      <c r="A858" s="667"/>
      <c r="B858" s="683"/>
      <c r="C858" s="667" t="s">
        <v>541</v>
      </c>
      <c r="D858" s="667"/>
      <c r="E858" s="667"/>
      <c r="F858" s="667"/>
      <c r="G858" s="667" t="s">
        <v>756</v>
      </c>
      <c r="H858" s="667"/>
      <c r="I858" s="667"/>
      <c r="J858" s="668">
        <v>-1000</v>
      </c>
    </row>
    <row r="859" spans="1:10" ht="13.5">
      <c r="A859" s="660"/>
      <c r="B859" s="661"/>
      <c r="C859" s="660" t="s">
        <v>541</v>
      </c>
      <c r="D859" s="660"/>
      <c r="E859" s="660" t="s">
        <v>513</v>
      </c>
      <c r="F859" s="660"/>
      <c r="G859" s="660" t="s">
        <v>670</v>
      </c>
      <c r="H859" s="660" t="s">
        <v>677</v>
      </c>
      <c r="I859" s="660" t="s">
        <v>516</v>
      </c>
      <c r="J859" s="662">
        <v>-2000</v>
      </c>
    </row>
    <row r="860" spans="1:10" s="587" customFormat="1" ht="13.5">
      <c r="A860" s="667"/>
      <c r="B860" s="683"/>
      <c r="C860" s="667" t="s">
        <v>541</v>
      </c>
      <c r="D860" s="667"/>
      <c r="E860" s="667"/>
      <c r="F860" s="667"/>
      <c r="G860" s="667" t="s">
        <v>670</v>
      </c>
      <c r="H860" s="667"/>
      <c r="I860" s="667"/>
      <c r="J860" s="668">
        <v>-2000</v>
      </c>
    </row>
    <row r="861" spans="1:10" ht="13.5">
      <c r="A861" s="660"/>
      <c r="B861" s="661"/>
      <c r="C861" s="660" t="s">
        <v>541</v>
      </c>
      <c r="D861" s="660"/>
      <c r="E861" s="660" t="s">
        <v>517</v>
      </c>
      <c r="F861" s="660"/>
      <c r="G861" s="660" t="s">
        <v>742</v>
      </c>
      <c r="H861" s="660" t="s">
        <v>677</v>
      </c>
      <c r="I861" s="660" t="s">
        <v>516</v>
      </c>
      <c r="J861" s="662">
        <v>500</v>
      </c>
    </row>
    <row r="862" spans="1:10" ht="13.5">
      <c r="A862" s="660"/>
      <c r="B862" s="661"/>
      <c r="C862" s="660" t="s">
        <v>541</v>
      </c>
      <c r="D862" s="660"/>
      <c r="E862" s="660" t="s">
        <v>517</v>
      </c>
      <c r="F862" s="660"/>
      <c r="G862" s="660" t="s">
        <v>742</v>
      </c>
      <c r="H862" s="660" t="s">
        <v>603</v>
      </c>
      <c r="I862" s="660" t="s">
        <v>516</v>
      </c>
      <c r="J862" s="662">
        <v>2000</v>
      </c>
    </row>
    <row r="863" spans="1:10" s="587" customFormat="1" ht="13.5">
      <c r="A863" s="667"/>
      <c r="B863" s="683"/>
      <c r="C863" s="667" t="s">
        <v>541</v>
      </c>
      <c r="D863" s="667"/>
      <c r="E863" s="667"/>
      <c r="F863" s="667"/>
      <c r="G863" s="667" t="s">
        <v>742</v>
      </c>
      <c r="H863" s="667"/>
      <c r="I863" s="667"/>
      <c r="J863" s="668">
        <v>2500</v>
      </c>
    </row>
    <row r="864" spans="1:10" ht="13.5">
      <c r="A864" s="660"/>
      <c r="B864" s="661"/>
      <c r="C864" s="660" t="s">
        <v>541</v>
      </c>
      <c r="D864" s="660"/>
      <c r="E864" s="660" t="s">
        <v>517</v>
      </c>
      <c r="F864" s="660"/>
      <c r="G864" s="660" t="s">
        <v>611</v>
      </c>
      <c r="H864" s="660" t="s">
        <v>677</v>
      </c>
      <c r="I864" s="660" t="s">
        <v>516</v>
      </c>
      <c r="J864" s="662">
        <v>500</v>
      </c>
    </row>
    <row r="865" spans="1:10" ht="13.5">
      <c r="A865" s="660"/>
      <c r="B865" s="661"/>
      <c r="C865" s="660" t="s">
        <v>541</v>
      </c>
      <c r="D865" s="660"/>
      <c r="E865" s="660" t="s">
        <v>517</v>
      </c>
      <c r="F865" s="660"/>
      <c r="G865" s="660" t="s">
        <v>611</v>
      </c>
      <c r="H865" s="660" t="s">
        <v>603</v>
      </c>
      <c r="I865" s="660" t="s">
        <v>516</v>
      </c>
      <c r="J865" s="662">
        <v>3000</v>
      </c>
    </row>
    <row r="866" spans="1:10" s="587" customFormat="1" ht="13.5">
      <c r="A866" s="667"/>
      <c r="B866" s="683"/>
      <c r="C866" s="667" t="s">
        <v>541</v>
      </c>
      <c r="D866" s="667"/>
      <c r="E866" s="667"/>
      <c r="F866" s="667"/>
      <c r="G866" s="667" t="s">
        <v>611</v>
      </c>
      <c r="H866" s="667"/>
      <c r="I866" s="667"/>
      <c r="J866" s="668">
        <v>3500</v>
      </c>
    </row>
    <row r="867" spans="1:10" ht="13.5">
      <c r="A867" s="660"/>
      <c r="B867" s="661"/>
      <c r="C867" s="660" t="s">
        <v>541</v>
      </c>
      <c r="D867" s="660"/>
      <c r="E867" s="660" t="s">
        <v>517</v>
      </c>
      <c r="F867" s="660"/>
      <c r="G867" s="660" t="s">
        <v>757</v>
      </c>
      <c r="H867" s="660" t="s">
        <v>677</v>
      </c>
      <c r="I867" s="660" t="s">
        <v>516</v>
      </c>
      <c r="J867" s="662">
        <v>500</v>
      </c>
    </row>
    <row r="868" spans="1:10" ht="13.5">
      <c r="A868" s="660"/>
      <c r="B868" s="661"/>
      <c r="C868" s="660" t="s">
        <v>541</v>
      </c>
      <c r="D868" s="660"/>
      <c r="E868" s="660" t="s">
        <v>513</v>
      </c>
      <c r="F868" s="660"/>
      <c r="G868" s="660" t="s">
        <v>757</v>
      </c>
      <c r="H868" s="660" t="s">
        <v>603</v>
      </c>
      <c r="I868" s="660" t="s">
        <v>516</v>
      </c>
      <c r="J868" s="662">
        <v>-1500</v>
      </c>
    </row>
    <row r="869" spans="1:10" s="587" customFormat="1" ht="13.5">
      <c r="A869" s="667"/>
      <c r="B869" s="683"/>
      <c r="C869" s="667" t="s">
        <v>541</v>
      </c>
      <c r="D869" s="667"/>
      <c r="E869" s="667"/>
      <c r="F869" s="667"/>
      <c r="G869" s="667" t="s">
        <v>757</v>
      </c>
      <c r="H869" s="667"/>
      <c r="I869" s="667"/>
      <c r="J869" s="668">
        <v>-1000</v>
      </c>
    </row>
    <row r="870" spans="1:10" ht="13.5">
      <c r="A870" s="660"/>
      <c r="B870" s="661"/>
      <c r="C870" s="660" t="s">
        <v>541</v>
      </c>
      <c r="D870" s="660"/>
      <c r="E870" s="660" t="s">
        <v>513</v>
      </c>
      <c r="F870" s="660"/>
      <c r="G870" s="660" t="s">
        <v>730</v>
      </c>
      <c r="H870" s="660" t="s">
        <v>603</v>
      </c>
      <c r="I870" s="660" t="s">
        <v>516</v>
      </c>
      <c r="J870" s="662">
        <v>-2000</v>
      </c>
    </row>
    <row r="871" spans="1:10" s="587" customFormat="1" ht="13.5">
      <c r="A871" s="667"/>
      <c r="B871" s="683"/>
      <c r="C871" s="667" t="s">
        <v>541</v>
      </c>
      <c r="D871" s="667"/>
      <c r="E871" s="667"/>
      <c r="F871" s="667"/>
      <c r="G871" s="667" t="s">
        <v>730</v>
      </c>
      <c r="H871" s="667"/>
      <c r="I871" s="667"/>
      <c r="J871" s="668">
        <v>-2000</v>
      </c>
    </row>
    <row r="872" spans="1:10" ht="13.5">
      <c r="A872" s="660"/>
      <c r="B872" s="661"/>
      <c r="C872" s="660" t="s">
        <v>541</v>
      </c>
      <c r="D872" s="660"/>
      <c r="E872" s="660" t="s">
        <v>517</v>
      </c>
      <c r="F872" s="660"/>
      <c r="G872" s="660" t="s">
        <v>612</v>
      </c>
      <c r="H872" s="660" t="s">
        <v>677</v>
      </c>
      <c r="I872" s="660" t="s">
        <v>516</v>
      </c>
      <c r="J872" s="662">
        <v>1000</v>
      </c>
    </row>
    <row r="873" spans="1:10" s="587" customFormat="1" ht="13.5">
      <c r="A873" s="667"/>
      <c r="B873" s="683"/>
      <c r="C873" s="667" t="s">
        <v>541</v>
      </c>
      <c r="D873" s="667"/>
      <c r="E873" s="667"/>
      <c r="F873" s="667"/>
      <c r="G873" s="667" t="s">
        <v>612</v>
      </c>
      <c r="H873" s="667"/>
      <c r="I873" s="667"/>
      <c r="J873" s="668">
        <v>1000</v>
      </c>
    </row>
    <row r="874" spans="1:10" ht="13.5">
      <c r="A874" s="660"/>
      <c r="B874" s="661"/>
      <c r="C874" s="660" t="s">
        <v>541</v>
      </c>
      <c r="D874" s="660"/>
      <c r="E874" s="660" t="s">
        <v>517</v>
      </c>
      <c r="F874" s="660"/>
      <c r="G874" s="660" t="s">
        <v>758</v>
      </c>
      <c r="H874" s="660" t="s">
        <v>677</v>
      </c>
      <c r="I874" s="660" t="s">
        <v>516</v>
      </c>
      <c r="J874" s="662">
        <v>500</v>
      </c>
    </row>
    <row r="875" spans="1:10" s="587" customFormat="1" ht="13.5">
      <c r="A875" s="667"/>
      <c r="B875" s="683"/>
      <c r="C875" s="667" t="s">
        <v>541</v>
      </c>
      <c r="D875" s="667"/>
      <c r="E875" s="667"/>
      <c r="F875" s="667"/>
      <c r="G875" s="667" t="s">
        <v>758</v>
      </c>
      <c r="H875" s="667"/>
      <c r="I875" s="667"/>
      <c r="J875" s="668">
        <v>500</v>
      </c>
    </row>
    <row r="876" spans="1:10" ht="13.5">
      <c r="A876" s="660"/>
      <c r="B876" s="661"/>
      <c r="C876" s="660" t="s">
        <v>541</v>
      </c>
      <c r="D876" s="660"/>
      <c r="E876" s="660" t="s">
        <v>513</v>
      </c>
      <c r="F876" s="660"/>
      <c r="G876" s="660" t="s">
        <v>613</v>
      </c>
      <c r="H876" s="660" t="s">
        <v>677</v>
      </c>
      <c r="I876" s="660" t="s">
        <v>516</v>
      </c>
      <c r="J876" s="662">
        <v>-2000</v>
      </c>
    </row>
    <row r="877" spans="1:10" ht="13.5">
      <c r="A877" s="660"/>
      <c r="B877" s="661"/>
      <c r="C877" s="660" t="s">
        <v>541</v>
      </c>
      <c r="D877" s="660"/>
      <c r="E877" s="660" t="s">
        <v>517</v>
      </c>
      <c r="F877" s="660"/>
      <c r="G877" s="660" t="s">
        <v>613</v>
      </c>
      <c r="H877" s="660" t="s">
        <v>603</v>
      </c>
      <c r="I877" s="660" t="s">
        <v>516</v>
      </c>
      <c r="J877" s="662">
        <v>2000</v>
      </c>
    </row>
    <row r="878" spans="1:10" s="587" customFormat="1" ht="13.5">
      <c r="A878" s="667"/>
      <c r="B878" s="683"/>
      <c r="C878" s="667" t="s">
        <v>541</v>
      </c>
      <c r="D878" s="667"/>
      <c r="E878" s="667"/>
      <c r="F878" s="667"/>
      <c r="G878" s="667" t="s">
        <v>613</v>
      </c>
      <c r="H878" s="667"/>
      <c r="I878" s="667"/>
      <c r="J878" s="668">
        <v>0</v>
      </c>
    </row>
    <row r="879" spans="1:10" ht="13.5">
      <c r="A879" s="660"/>
      <c r="B879" s="661"/>
      <c r="C879" s="660" t="s">
        <v>541</v>
      </c>
      <c r="D879" s="660"/>
      <c r="E879" s="660" t="s">
        <v>517</v>
      </c>
      <c r="F879" s="660"/>
      <c r="G879" s="660" t="s">
        <v>614</v>
      </c>
      <c r="H879" s="660" t="s">
        <v>677</v>
      </c>
      <c r="I879" s="660" t="s">
        <v>516</v>
      </c>
      <c r="J879" s="662">
        <v>500</v>
      </c>
    </row>
    <row r="880" spans="1:10" ht="13.5">
      <c r="A880" s="660"/>
      <c r="B880" s="661"/>
      <c r="C880" s="660" t="s">
        <v>541</v>
      </c>
      <c r="D880" s="660"/>
      <c r="E880" s="660" t="s">
        <v>517</v>
      </c>
      <c r="F880" s="660"/>
      <c r="G880" s="660" t="s">
        <v>614</v>
      </c>
      <c r="H880" s="660" t="s">
        <v>603</v>
      </c>
      <c r="I880" s="660" t="s">
        <v>516</v>
      </c>
      <c r="J880" s="662">
        <v>3000</v>
      </c>
    </row>
    <row r="881" spans="1:10" s="587" customFormat="1" ht="13.5">
      <c r="A881" s="667"/>
      <c r="B881" s="683"/>
      <c r="C881" s="667" t="s">
        <v>541</v>
      </c>
      <c r="D881" s="667"/>
      <c r="E881" s="667"/>
      <c r="F881" s="667"/>
      <c r="G881" s="667" t="s">
        <v>614</v>
      </c>
      <c r="H881" s="667"/>
      <c r="I881" s="667"/>
      <c r="J881" s="668">
        <v>3500</v>
      </c>
    </row>
    <row r="882" spans="1:10" ht="13.5">
      <c r="A882" s="660"/>
      <c r="B882" s="661"/>
      <c r="C882" s="660" t="s">
        <v>541</v>
      </c>
      <c r="D882" s="660"/>
      <c r="E882" s="660" t="s">
        <v>517</v>
      </c>
      <c r="F882" s="660"/>
      <c r="G882" s="660" t="s">
        <v>615</v>
      </c>
      <c r="H882" s="660" t="s">
        <v>677</v>
      </c>
      <c r="I882" s="660" t="s">
        <v>516</v>
      </c>
      <c r="J882" s="662">
        <v>500</v>
      </c>
    </row>
    <row r="883" spans="1:10" ht="13.5">
      <c r="A883" s="660"/>
      <c r="B883" s="661"/>
      <c r="C883" s="660" t="s">
        <v>541</v>
      </c>
      <c r="D883" s="660"/>
      <c r="E883" s="660" t="s">
        <v>517</v>
      </c>
      <c r="F883" s="660"/>
      <c r="G883" s="660" t="s">
        <v>615</v>
      </c>
      <c r="H883" s="660" t="s">
        <v>603</v>
      </c>
      <c r="I883" s="660" t="s">
        <v>516</v>
      </c>
      <c r="J883" s="662">
        <v>1500</v>
      </c>
    </row>
    <row r="884" spans="1:10" s="587" customFormat="1" ht="13.5">
      <c r="A884" s="667"/>
      <c r="B884" s="683"/>
      <c r="C884" s="667" t="s">
        <v>541</v>
      </c>
      <c r="D884" s="667"/>
      <c r="E884" s="667"/>
      <c r="F884" s="667"/>
      <c r="G884" s="667" t="s">
        <v>615</v>
      </c>
      <c r="H884" s="667"/>
      <c r="I884" s="667"/>
      <c r="J884" s="668">
        <v>2000</v>
      </c>
    </row>
    <row r="885" spans="1:10" ht="13.5">
      <c r="A885" s="660"/>
      <c r="B885" s="661"/>
      <c r="C885" s="660" t="s">
        <v>541</v>
      </c>
      <c r="D885" s="660"/>
      <c r="E885" s="660" t="s">
        <v>517</v>
      </c>
      <c r="F885" s="660"/>
      <c r="G885" s="660" t="s">
        <v>616</v>
      </c>
      <c r="H885" s="660" t="s">
        <v>603</v>
      </c>
      <c r="I885" s="660" t="s">
        <v>516</v>
      </c>
      <c r="J885" s="662">
        <v>3000</v>
      </c>
    </row>
    <row r="886" spans="1:10" s="587" customFormat="1" ht="13.5">
      <c r="A886" s="667"/>
      <c r="B886" s="683"/>
      <c r="C886" s="667" t="s">
        <v>541</v>
      </c>
      <c r="D886" s="667"/>
      <c r="E886" s="667"/>
      <c r="F886" s="667"/>
      <c r="G886" s="667" t="s">
        <v>616</v>
      </c>
      <c r="H886" s="667"/>
      <c r="I886" s="667"/>
      <c r="J886" s="668">
        <v>3000</v>
      </c>
    </row>
    <row r="887" spans="1:10" ht="13.5">
      <c r="A887" s="660"/>
      <c r="B887" s="661"/>
      <c r="C887" s="660" t="s">
        <v>541</v>
      </c>
      <c r="D887" s="660"/>
      <c r="E887" s="660" t="s">
        <v>517</v>
      </c>
      <c r="F887" s="660"/>
      <c r="G887" s="660" t="s">
        <v>617</v>
      </c>
      <c r="H887" s="660" t="s">
        <v>677</v>
      </c>
      <c r="I887" s="660" t="s">
        <v>516</v>
      </c>
      <c r="J887" s="662">
        <v>800</v>
      </c>
    </row>
    <row r="888" spans="1:10" s="587" customFormat="1" ht="13.5">
      <c r="A888" s="673" t="s">
        <v>759</v>
      </c>
      <c r="B888" s="688"/>
      <c r="C888" s="675" t="s">
        <v>541</v>
      </c>
      <c r="D888" s="675"/>
      <c r="E888" s="675"/>
      <c r="F888" s="675"/>
      <c r="G888" s="675" t="s">
        <v>617</v>
      </c>
      <c r="H888" s="675"/>
      <c r="I888" s="675"/>
      <c r="J888" s="677">
        <v>800</v>
      </c>
    </row>
    <row r="889" spans="1:10" ht="12.75">
      <c r="A889" s="582"/>
      <c r="B889" s="582"/>
      <c r="C889" s="582"/>
      <c r="D889" s="582"/>
      <c r="E889" s="582"/>
      <c r="F889" s="582"/>
      <c r="G889" s="582"/>
      <c r="H889" s="582"/>
      <c r="I889" s="582"/>
      <c r="J889" s="694"/>
    </row>
    <row r="890" spans="1:10" ht="13.5">
      <c r="A890" s="660" t="s">
        <v>760</v>
      </c>
      <c r="B890" s="661">
        <v>41577</v>
      </c>
      <c r="C890" s="660" t="s">
        <v>541</v>
      </c>
      <c r="D890" s="660" t="s">
        <v>761</v>
      </c>
      <c r="E890" s="660" t="s">
        <v>513</v>
      </c>
      <c r="F890" s="543" t="s">
        <v>514</v>
      </c>
      <c r="G890" s="660" t="s">
        <v>605</v>
      </c>
      <c r="H890" s="660" t="s">
        <v>654</v>
      </c>
      <c r="I890" s="660" t="s">
        <v>516</v>
      </c>
      <c r="J890" s="695">
        <v>-10550</v>
      </c>
    </row>
    <row r="891" spans="1:10" s="587" customFormat="1" ht="13.5">
      <c r="A891" s="667"/>
      <c r="B891" s="683"/>
      <c r="C891" s="667" t="s">
        <v>541</v>
      </c>
      <c r="D891" s="667"/>
      <c r="E891" s="667"/>
      <c r="F891" s="654" t="s">
        <v>518</v>
      </c>
      <c r="G891" s="667" t="s">
        <v>605</v>
      </c>
      <c r="H891" s="667"/>
      <c r="I891" s="667"/>
      <c r="J891" s="696">
        <v>-10550</v>
      </c>
    </row>
    <row r="892" spans="1:10" ht="13.5">
      <c r="A892" s="660"/>
      <c r="B892" s="661"/>
      <c r="C892" s="660" t="s">
        <v>541</v>
      </c>
      <c r="D892" s="660"/>
      <c r="E892" s="660" t="s">
        <v>517</v>
      </c>
      <c r="F892" s="660"/>
      <c r="G892" s="660" t="s">
        <v>758</v>
      </c>
      <c r="H892" s="660" t="s">
        <v>655</v>
      </c>
      <c r="I892" s="660" t="s">
        <v>516</v>
      </c>
      <c r="J892" s="695">
        <v>10550</v>
      </c>
    </row>
    <row r="893" spans="1:10" s="587" customFormat="1" ht="14.25" thickBot="1">
      <c r="A893" s="697" t="s">
        <v>762</v>
      </c>
      <c r="B893" s="698"/>
      <c r="C893" s="699" t="s">
        <v>541</v>
      </c>
      <c r="D893" s="699"/>
      <c r="E893" s="699"/>
      <c r="F893" s="699"/>
      <c r="G893" s="699" t="s">
        <v>758</v>
      </c>
      <c r="H893" s="699"/>
      <c r="I893" s="699"/>
      <c r="J893" s="700">
        <v>10550</v>
      </c>
    </row>
    <row r="894" spans="1:10" ht="13.5" thickTop="1">
      <c r="A894" s="598"/>
      <c r="B894" s="598"/>
      <c r="C894" s="598"/>
      <c r="D894" s="598"/>
      <c r="E894" s="598"/>
      <c r="F894" s="598"/>
      <c r="G894" s="598"/>
      <c r="H894" s="598"/>
      <c r="I894" s="598"/>
      <c r="J894" s="701"/>
    </row>
    <row r="895" spans="1:10" ht="13.5">
      <c r="A895" s="702" t="s">
        <v>763</v>
      </c>
      <c r="B895" s="703">
        <v>41586</v>
      </c>
      <c r="C895" s="702" t="s">
        <v>541</v>
      </c>
      <c r="D895" s="702" t="s">
        <v>764</v>
      </c>
      <c r="E895" s="702" t="s">
        <v>513</v>
      </c>
      <c r="F895" s="543" t="s">
        <v>514</v>
      </c>
      <c r="G895" s="702" t="s">
        <v>605</v>
      </c>
      <c r="H895" s="702" t="s">
        <v>598</v>
      </c>
      <c r="I895" s="702" t="s">
        <v>516</v>
      </c>
      <c r="J895" s="704">
        <v>-10000</v>
      </c>
    </row>
    <row r="896" spans="1:10" ht="13.5">
      <c r="A896" s="702"/>
      <c r="B896" s="703"/>
      <c r="C896" s="702"/>
      <c r="D896" s="702"/>
      <c r="E896" s="702" t="s">
        <v>513</v>
      </c>
      <c r="F896" s="654" t="s">
        <v>518</v>
      </c>
      <c r="G896" s="702" t="s">
        <v>605</v>
      </c>
      <c r="H896" s="702" t="s">
        <v>599</v>
      </c>
      <c r="I896" s="702" t="s">
        <v>516</v>
      </c>
      <c r="J896" s="704">
        <v>-30000</v>
      </c>
    </row>
    <row r="897" spans="1:10" ht="13.5">
      <c r="A897" s="702"/>
      <c r="B897" s="703"/>
      <c r="C897" s="702"/>
      <c r="D897" s="702"/>
      <c r="E897" s="702" t="s">
        <v>517</v>
      </c>
      <c r="F897" s="598"/>
      <c r="G897" s="702" t="s">
        <v>605</v>
      </c>
      <c r="H897" s="702" t="s">
        <v>524</v>
      </c>
      <c r="I897" s="702" t="s">
        <v>516</v>
      </c>
      <c r="J897" s="704">
        <v>10000</v>
      </c>
    </row>
    <row r="898" spans="1:10" ht="13.5">
      <c r="A898" s="702"/>
      <c r="B898" s="703"/>
      <c r="C898" s="702"/>
      <c r="D898" s="702"/>
      <c r="E898" s="702" t="s">
        <v>517</v>
      </c>
      <c r="F898" s="702"/>
      <c r="G898" s="702" t="s">
        <v>605</v>
      </c>
      <c r="H898" s="702" t="s">
        <v>525</v>
      </c>
      <c r="I898" s="702" t="s">
        <v>516</v>
      </c>
      <c r="J898" s="704">
        <v>30000</v>
      </c>
    </row>
    <row r="899" spans="1:11" s="289" customFormat="1" ht="13.5">
      <c r="A899" s="705" t="s">
        <v>765</v>
      </c>
      <c r="B899" s="706"/>
      <c r="C899" s="707" t="s">
        <v>541</v>
      </c>
      <c r="D899" s="707"/>
      <c r="E899" s="707"/>
      <c r="F899" s="707"/>
      <c r="G899" s="707" t="s">
        <v>605</v>
      </c>
      <c r="H899" s="707"/>
      <c r="I899" s="707"/>
      <c r="J899" s="708">
        <f>SUM(J895:J898)</f>
        <v>0</v>
      </c>
      <c r="K899" s="588"/>
    </row>
    <row r="900" spans="1:10" ht="12.75">
      <c r="A900" s="582"/>
      <c r="B900" s="582"/>
      <c r="C900" s="582"/>
      <c r="D900" s="582"/>
      <c r="E900" s="582"/>
      <c r="F900" s="582"/>
      <c r="G900" s="582"/>
      <c r="H900" s="582"/>
      <c r="I900" s="582"/>
      <c r="J900" s="694"/>
    </row>
    <row r="901" spans="1:10" ht="13.5">
      <c r="A901" s="709" t="s">
        <v>766</v>
      </c>
      <c r="B901" s="710">
        <v>41592</v>
      </c>
      <c r="C901" s="709" t="s">
        <v>541</v>
      </c>
      <c r="D901" s="709" t="s">
        <v>767</v>
      </c>
      <c r="E901" s="709" t="s">
        <v>513</v>
      </c>
      <c r="F901" s="543" t="s">
        <v>514</v>
      </c>
      <c r="G901" s="709" t="s">
        <v>605</v>
      </c>
      <c r="H901" s="711" t="s">
        <v>654</v>
      </c>
      <c r="I901" s="709" t="s">
        <v>516</v>
      </c>
      <c r="J901" s="712">
        <v>-16500</v>
      </c>
    </row>
    <row r="902" spans="1:10" s="719" customFormat="1" ht="13.5">
      <c r="A902" s="713"/>
      <c r="B902" s="714"/>
      <c r="C902" s="715">
        <v>132</v>
      </c>
      <c r="D902" s="716"/>
      <c r="E902" s="716"/>
      <c r="F902" s="654" t="s">
        <v>518</v>
      </c>
      <c r="G902" s="715" t="s">
        <v>605</v>
      </c>
      <c r="H902" s="717"/>
      <c r="I902" s="715"/>
      <c r="J902" s="718">
        <v>-16500</v>
      </c>
    </row>
    <row r="903" spans="1:10" ht="13.5">
      <c r="A903" s="711"/>
      <c r="B903" s="710"/>
      <c r="C903" s="709" t="s">
        <v>541</v>
      </c>
      <c r="D903" s="709"/>
      <c r="E903" s="709" t="s">
        <v>517</v>
      </c>
      <c r="F903" s="711"/>
      <c r="G903" s="709" t="s">
        <v>633</v>
      </c>
      <c r="H903" s="711" t="s">
        <v>656</v>
      </c>
      <c r="I903" s="709" t="s">
        <v>516</v>
      </c>
      <c r="J903" s="712">
        <v>1900</v>
      </c>
    </row>
    <row r="904" spans="1:10" ht="13.5">
      <c r="A904" s="711"/>
      <c r="B904" s="710"/>
      <c r="C904" s="709"/>
      <c r="D904" s="709"/>
      <c r="E904" s="709" t="s">
        <v>517</v>
      </c>
      <c r="F904" s="711"/>
      <c r="G904" s="709"/>
      <c r="H904" s="711" t="s">
        <v>655</v>
      </c>
      <c r="I904" s="709" t="s">
        <v>516</v>
      </c>
      <c r="J904" s="712">
        <v>10600</v>
      </c>
    </row>
    <row r="905" spans="1:10" ht="13.5">
      <c r="A905" s="711"/>
      <c r="B905" s="710"/>
      <c r="C905" s="709"/>
      <c r="D905" s="709"/>
      <c r="E905" s="709" t="s">
        <v>517</v>
      </c>
      <c r="F905" s="711"/>
      <c r="G905" s="709"/>
      <c r="H905" s="711" t="s">
        <v>689</v>
      </c>
      <c r="I905" s="709" t="s">
        <v>516</v>
      </c>
      <c r="J905" s="712">
        <v>3000</v>
      </c>
    </row>
    <row r="906" spans="1:10" ht="13.5">
      <c r="A906" s="711"/>
      <c r="B906" s="710"/>
      <c r="C906" s="709"/>
      <c r="D906" s="709"/>
      <c r="E906" s="709" t="s">
        <v>517</v>
      </c>
      <c r="F906" s="711"/>
      <c r="G906" s="709"/>
      <c r="H906" s="711" t="s">
        <v>531</v>
      </c>
      <c r="I906" s="709" t="s">
        <v>516</v>
      </c>
      <c r="J906" s="712">
        <v>1000</v>
      </c>
    </row>
    <row r="907" spans="1:10" s="588" customFormat="1" ht="13.5">
      <c r="A907" s="720" t="s">
        <v>768</v>
      </c>
      <c r="B907" s="721"/>
      <c r="C907" s="722" t="s">
        <v>541</v>
      </c>
      <c r="D907" s="722"/>
      <c r="E907" s="722"/>
      <c r="F907" s="723"/>
      <c r="G907" s="722" t="s">
        <v>633</v>
      </c>
      <c r="H907" s="723"/>
      <c r="I907" s="723"/>
      <c r="J907" s="724">
        <f>SUM(J903:J906)</f>
        <v>16500</v>
      </c>
    </row>
    <row r="908" spans="1:10" ht="12.75">
      <c r="A908" s="582"/>
      <c r="B908" s="582"/>
      <c r="C908" s="582"/>
      <c r="D908" s="582"/>
      <c r="E908" s="582"/>
      <c r="F908" s="582"/>
      <c r="G908" s="582"/>
      <c r="H908" s="582"/>
      <c r="I908" s="582"/>
      <c r="J908" s="694"/>
    </row>
    <row r="909" spans="1:10" ht="13.5">
      <c r="A909" s="709" t="s">
        <v>769</v>
      </c>
      <c r="B909" s="710">
        <v>41592</v>
      </c>
      <c r="C909" s="709" t="s">
        <v>541</v>
      </c>
      <c r="D909" s="709" t="s">
        <v>770</v>
      </c>
      <c r="E909" s="709" t="s">
        <v>517</v>
      </c>
      <c r="F909" s="543" t="s">
        <v>514</v>
      </c>
      <c r="G909" s="709" t="s">
        <v>753</v>
      </c>
      <c r="H909" s="709" t="s">
        <v>523</v>
      </c>
      <c r="I909" s="709" t="s">
        <v>516</v>
      </c>
      <c r="J909" s="725">
        <v>3095</v>
      </c>
    </row>
    <row r="910" spans="1:10" ht="13.5">
      <c r="A910" s="709"/>
      <c r="B910" s="710"/>
      <c r="C910" s="709"/>
      <c r="D910" s="709"/>
      <c r="E910" s="709" t="s">
        <v>513</v>
      </c>
      <c r="F910" s="654" t="s">
        <v>518</v>
      </c>
      <c r="G910" s="709"/>
      <c r="H910" s="709" t="s">
        <v>524</v>
      </c>
      <c r="I910" s="709" t="s">
        <v>516</v>
      </c>
      <c r="J910" s="725">
        <v>-1548</v>
      </c>
    </row>
    <row r="911" spans="1:10" ht="13.5">
      <c r="A911" s="709"/>
      <c r="B911" s="710"/>
      <c r="C911" s="709"/>
      <c r="D911" s="709"/>
      <c r="E911" s="709" t="s">
        <v>513</v>
      </c>
      <c r="F911" s="709"/>
      <c r="G911" s="709"/>
      <c r="H911" s="709" t="s">
        <v>525</v>
      </c>
      <c r="I911" s="709" t="s">
        <v>516</v>
      </c>
      <c r="J911" s="725">
        <v>-1547</v>
      </c>
    </row>
    <row r="912" spans="1:10" s="719" customFormat="1" ht="13.5">
      <c r="A912" s="720" t="s">
        <v>771</v>
      </c>
      <c r="B912" s="721"/>
      <c r="C912" s="722" t="s">
        <v>541</v>
      </c>
      <c r="D912" s="722"/>
      <c r="E912" s="722"/>
      <c r="F912" s="722"/>
      <c r="G912" s="722" t="s">
        <v>753</v>
      </c>
      <c r="H912" s="722"/>
      <c r="I912" s="722"/>
      <c r="J912" s="726">
        <f>SUM(J909:J911)</f>
        <v>0</v>
      </c>
    </row>
    <row r="913" spans="1:10" ht="12.75">
      <c r="A913" s="582"/>
      <c r="B913" s="582"/>
      <c r="C913" s="582"/>
      <c r="D913" s="582"/>
      <c r="E913" s="582"/>
      <c r="F913" s="582"/>
      <c r="G913" s="582"/>
      <c r="H913" s="582"/>
      <c r="I913" s="582"/>
      <c r="J913" s="694"/>
    </row>
    <row r="914" spans="1:10" ht="13.5">
      <c r="A914" s="709" t="s">
        <v>772</v>
      </c>
      <c r="B914" s="710">
        <v>41596</v>
      </c>
      <c r="C914" s="709" t="s">
        <v>541</v>
      </c>
      <c r="D914" s="709" t="s">
        <v>773</v>
      </c>
      <c r="E914" s="709" t="s">
        <v>513</v>
      </c>
      <c r="F914" s="543" t="s">
        <v>514</v>
      </c>
      <c r="G914" s="709" t="s">
        <v>675</v>
      </c>
      <c r="H914" s="709" t="s">
        <v>774</v>
      </c>
      <c r="I914" s="709" t="s">
        <v>516</v>
      </c>
      <c r="J914" s="725">
        <v>-94958</v>
      </c>
    </row>
    <row r="915" spans="1:10" ht="13.5">
      <c r="A915" s="709"/>
      <c r="B915" s="710"/>
      <c r="C915" s="709"/>
      <c r="D915" s="709"/>
      <c r="E915" s="709" t="s">
        <v>513</v>
      </c>
      <c r="F915" s="654" t="s">
        <v>518</v>
      </c>
      <c r="G915" s="709" t="s">
        <v>675</v>
      </c>
      <c r="H915" s="709" t="s">
        <v>676</v>
      </c>
      <c r="I915" s="709" t="s">
        <v>516</v>
      </c>
      <c r="J915" s="725">
        <v>-35964</v>
      </c>
    </row>
    <row r="916" spans="1:10" ht="13.5">
      <c r="A916" s="709"/>
      <c r="B916" s="710"/>
      <c r="C916" s="709"/>
      <c r="D916" s="709"/>
      <c r="E916" s="709" t="s">
        <v>513</v>
      </c>
      <c r="F916" s="709"/>
      <c r="G916" s="709" t="s">
        <v>675</v>
      </c>
      <c r="H916" s="709" t="s">
        <v>775</v>
      </c>
      <c r="I916" s="709" t="s">
        <v>516</v>
      </c>
      <c r="J916" s="725">
        <v>-10000</v>
      </c>
    </row>
    <row r="917" spans="1:10" ht="13.5">
      <c r="A917" s="709"/>
      <c r="B917" s="710"/>
      <c r="C917" s="709"/>
      <c r="D917" s="709"/>
      <c r="E917" s="709" t="s">
        <v>513</v>
      </c>
      <c r="F917" s="709"/>
      <c r="G917" s="709" t="s">
        <v>675</v>
      </c>
      <c r="H917" s="709" t="s">
        <v>677</v>
      </c>
      <c r="I917" s="709" t="s">
        <v>516</v>
      </c>
      <c r="J917" s="725">
        <v>-225863</v>
      </c>
    </row>
    <row r="918" spans="1:10" ht="13.5">
      <c r="A918" s="709"/>
      <c r="B918" s="710"/>
      <c r="C918" s="709"/>
      <c r="D918" s="709"/>
      <c r="E918" s="709" t="s">
        <v>513</v>
      </c>
      <c r="F918" s="709"/>
      <c r="G918" s="709" t="s">
        <v>675</v>
      </c>
      <c r="H918" s="709" t="s">
        <v>603</v>
      </c>
      <c r="I918" s="709" t="s">
        <v>516</v>
      </c>
      <c r="J918" s="725">
        <v>-170000</v>
      </c>
    </row>
    <row r="919" spans="1:10" ht="13.5">
      <c r="A919" s="709"/>
      <c r="B919" s="710"/>
      <c r="C919" s="709"/>
      <c r="D919" s="709"/>
      <c r="E919" s="709" t="s">
        <v>513</v>
      </c>
      <c r="F919" s="709"/>
      <c r="G919" s="709" t="s">
        <v>675</v>
      </c>
      <c r="H919" s="709" t="s">
        <v>679</v>
      </c>
      <c r="I919" s="709" t="s">
        <v>516</v>
      </c>
      <c r="J919" s="725">
        <v>-4000</v>
      </c>
    </row>
    <row r="920" spans="1:10" ht="13.5">
      <c r="A920" s="709"/>
      <c r="B920" s="710"/>
      <c r="C920" s="709"/>
      <c r="D920" s="709"/>
      <c r="E920" s="709" t="s">
        <v>517</v>
      </c>
      <c r="F920" s="709"/>
      <c r="G920" s="709" t="s">
        <v>675</v>
      </c>
      <c r="H920" s="709" t="s">
        <v>776</v>
      </c>
      <c r="I920" s="709" t="s">
        <v>516</v>
      </c>
      <c r="J920" s="725">
        <v>17978</v>
      </c>
    </row>
    <row r="921" spans="1:10" ht="13.5">
      <c r="A921" s="709"/>
      <c r="B921" s="710"/>
      <c r="C921" s="709"/>
      <c r="D921" s="709"/>
      <c r="E921" s="709" t="s">
        <v>517</v>
      </c>
      <c r="F921" s="709"/>
      <c r="G921" s="709" t="s">
        <v>675</v>
      </c>
      <c r="H921" s="709" t="s">
        <v>650</v>
      </c>
      <c r="I921" s="709" t="s">
        <v>516</v>
      </c>
      <c r="J921" s="725">
        <v>522807</v>
      </c>
    </row>
    <row r="922" spans="1:10" s="588" customFormat="1" ht="13.5">
      <c r="A922" s="720" t="s">
        <v>777</v>
      </c>
      <c r="B922" s="721"/>
      <c r="C922" s="722" t="s">
        <v>541</v>
      </c>
      <c r="D922" s="722"/>
      <c r="E922" s="722"/>
      <c r="F922" s="722"/>
      <c r="G922" s="722" t="s">
        <v>675</v>
      </c>
      <c r="H922" s="722"/>
      <c r="I922" s="722"/>
      <c r="J922" s="726">
        <f>SUM(J914:J921)</f>
        <v>0</v>
      </c>
    </row>
    <row r="923" spans="1:10" ht="12.75">
      <c r="A923" s="582"/>
      <c r="B923" s="582"/>
      <c r="C923" s="582"/>
      <c r="D923" s="582"/>
      <c r="E923" s="582"/>
      <c r="F923" s="582"/>
      <c r="G923" s="582"/>
      <c r="H923" s="582"/>
      <c r="I923" s="582"/>
      <c r="J923" s="694"/>
    </row>
    <row r="924" spans="1:10" ht="13.5">
      <c r="A924" s="716" t="s">
        <v>778</v>
      </c>
      <c r="B924" s="714">
        <v>41600</v>
      </c>
      <c r="C924" s="716" t="s">
        <v>541</v>
      </c>
      <c r="D924" s="716" t="s">
        <v>779</v>
      </c>
      <c r="E924" s="716" t="s">
        <v>513</v>
      </c>
      <c r="F924" s="543" t="s">
        <v>514</v>
      </c>
      <c r="G924" s="716" t="s">
        <v>605</v>
      </c>
      <c r="H924" s="716" t="s">
        <v>654</v>
      </c>
      <c r="I924" s="716" t="s">
        <v>516</v>
      </c>
      <c r="J924" s="727">
        <v>-682</v>
      </c>
    </row>
    <row r="925" spans="1:10" s="549" customFormat="1" ht="13.5">
      <c r="A925" s="715"/>
      <c r="B925" s="728"/>
      <c r="C925" s="715" t="s">
        <v>541</v>
      </c>
      <c r="D925" s="715"/>
      <c r="E925" s="715"/>
      <c r="F925" s="654" t="s">
        <v>518</v>
      </c>
      <c r="G925" s="715" t="s">
        <v>605</v>
      </c>
      <c r="H925" s="715"/>
      <c r="I925" s="715"/>
      <c r="J925" s="729">
        <v>-682</v>
      </c>
    </row>
    <row r="926" spans="1:10" ht="13.5">
      <c r="A926" s="716"/>
      <c r="B926" s="714"/>
      <c r="C926" s="716" t="s">
        <v>541</v>
      </c>
      <c r="D926" s="716"/>
      <c r="E926" s="716" t="s">
        <v>517</v>
      </c>
      <c r="F926" s="716"/>
      <c r="G926" s="716" t="s">
        <v>610</v>
      </c>
      <c r="H926" s="716" t="s">
        <v>543</v>
      </c>
      <c r="I926" s="716" t="s">
        <v>516</v>
      </c>
      <c r="J926" s="727">
        <v>682</v>
      </c>
    </row>
    <row r="927" spans="1:10" s="549" customFormat="1" ht="13.5">
      <c r="A927" s="720" t="s">
        <v>780</v>
      </c>
      <c r="B927" s="721"/>
      <c r="C927" s="722" t="s">
        <v>541</v>
      </c>
      <c r="D927" s="722"/>
      <c r="E927" s="722"/>
      <c r="F927" s="722"/>
      <c r="G927" s="722" t="s">
        <v>610</v>
      </c>
      <c r="H927" s="722"/>
      <c r="I927" s="722"/>
      <c r="J927" s="730">
        <v>682</v>
      </c>
    </row>
    <row r="928" spans="1:10" ht="12.75">
      <c r="A928" s="582"/>
      <c r="B928" s="582"/>
      <c r="C928" s="582"/>
      <c r="D928" s="582"/>
      <c r="E928" s="582"/>
      <c r="F928" s="582"/>
      <c r="G928" s="582"/>
      <c r="H928" s="582"/>
      <c r="I928" s="582"/>
      <c r="J928" s="694"/>
    </row>
    <row r="929" spans="1:10" ht="13.5">
      <c r="A929" s="716" t="s">
        <v>781</v>
      </c>
      <c r="B929" s="714">
        <v>41603</v>
      </c>
      <c r="C929" s="716" t="s">
        <v>541</v>
      </c>
      <c r="D929" s="716" t="s">
        <v>782</v>
      </c>
      <c r="E929" s="716" t="s">
        <v>513</v>
      </c>
      <c r="F929" s="543" t="s">
        <v>514</v>
      </c>
      <c r="G929" s="716" t="s">
        <v>605</v>
      </c>
      <c r="H929" s="716" t="s">
        <v>630</v>
      </c>
      <c r="I929" s="716" t="s">
        <v>516</v>
      </c>
      <c r="J929" s="731">
        <v>-14598</v>
      </c>
    </row>
    <row r="930" spans="1:10" ht="13.5">
      <c r="A930" s="716"/>
      <c r="B930" s="714"/>
      <c r="C930" s="716"/>
      <c r="D930" s="716"/>
      <c r="E930" s="716"/>
      <c r="F930" s="654" t="s">
        <v>518</v>
      </c>
      <c r="G930" s="716" t="s">
        <v>605</v>
      </c>
      <c r="H930" s="716" t="s">
        <v>597</v>
      </c>
      <c r="I930" s="716" t="s">
        <v>516</v>
      </c>
      <c r="J930" s="731">
        <v>-1458</v>
      </c>
    </row>
    <row r="931" spans="1:10" ht="13.5">
      <c r="A931" s="716"/>
      <c r="B931" s="714"/>
      <c r="C931" s="716"/>
      <c r="D931" s="716"/>
      <c r="E931" s="716"/>
      <c r="F931" s="716"/>
      <c r="G931" s="716" t="s">
        <v>605</v>
      </c>
      <c r="H931" s="716" t="s">
        <v>590</v>
      </c>
      <c r="I931" s="716" t="s">
        <v>516</v>
      </c>
      <c r="J931" s="731">
        <v>-204</v>
      </c>
    </row>
    <row r="932" spans="1:10" ht="13.5">
      <c r="A932" s="716"/>
      <c r="B932" s="714"/>
      <c r="C932" s="716"/>
      <c r="D932" s="716"/>
      <c r="E932" s="716"/>
      <c r="F932" s="716"/>
      <c r="G932" s="716" t="s">
        <v>605</v>
      </c>
      <c r="H932" s="716" t="s">
        <v>591</v>
      </c>
      <c r="I932" s="716" t="s">
        <v>516</v>
      </c>
      <c r="J932" s="731">
        <v>-2046</v>
      </c>
    </row>
    <row r="933" spans="1:10" ht="13.5">
      <c r="A933" s="716"/>
      <c r="B933" s="714"/>
      <c r="C933" s="716"/>
      <c r="D933" s="716"/>
      <c r="E933" s="716"/>
      <c r="F933" s="716"/>
      <c r="G933" s="716" t="s">
        <v>605</v>
      </c>
      <c r="H933" s="716" t="s">
        <v>592</v>
      </c>
      <c r="I933" s="716" t="s">
        <v>516</v>
      </c>
      <c r="J933" s="731">
        <v>-120</v>
      </c>
    </row>
    <row r="934" spans="1:10" ht="13.5">
      <c r="A934" s="716"/>
      <c r="B934" s="714"/>
      <c r="C934" s="716"/>
      <c r="D934" s="716"/>
      <c r="E934" s="716"/>
      <c r="F934" s="716"/>
      <c r="G934" s="716" t="s">
        <v>605</v>
      </c>
      <c r="H934" s="716" t="s">
        <v>593</v>
      </c>
      <c r="I934" s="716" t="s">
        <v>516</v>
      </c>
      <c r="J934" s="731">
        <v>-438</v>
      </c>
    </row>
    <row r="935" spans="1:10" ht="13.5">
      <c r="A935" s="716"/>
      <c r="B935" s="714"/>
      <c r="C935" s="716"/>
      <c r="D935" s="716"/>
      <c r="E935" s="716"/>
      <c r="F935" s="716"/>
      <c r="G935" s="716" t="s">
        <v>605</v>
      </c>
      <c r="H935" s="716" t="s">
        <v>594</v>
      </c>
      <c r="I935" s="716" t="s">
        <v>516</v>
      </c>
      <c r="J935" s="731">
        <v>-144</v>
      </c>
    </row>
    <row r="936" spans="1:10" ht="13.5">
      <c r="A936" s="716"/>
      <c r="B936" s="714"/>
      <c r="C936" s="716"/>
      <c r="D936" s="716"/>
      <c r="E936" s="716"/>
      <c r="F936" s="716"/>
      <c r="G936" s="716" t="s">
        <v>605</v>
      </c>
      <c r="H936" s="716" t="s">
        <v>595</v>
      </c>
      <c r="I936" s="716" t="s">
        <v>516</v>
      </c>
      <c r="J936" s="731">
        <v>-36</v>
      </c>
    </row>
    <row r="937" spans="1:10" ht="13.5">
      <c r="A937" s="716"/>
      <c r="B937" s="714"/>
      <c r="C937" s="716"/>
      <c r="D937" s="716"/>
      <c r="E937" s="716"/>
      <c r="F937" s="716"/>
      <c r="G937" s="716" t="s">
        <v>605</v>
      </c>
      <c r="H937" s="716" t="s">
        <v>596</v>
      </c>
      <c r="I937" s="716" t="s">
        <v>516</v>
      </c>
      <c r="J937" s="731">
        <v>-696</v>
      </c>
    </row>
    <row r="938" spans="1:10" ht="13.5">
      <c r="A938" s="716"/>
      <c r="B938" s="714"/>
      <c r="C938" s="716"/>
      <c r="D938" s="716"/>
      <c r="E938" s="716"/>
      <c r="F938" s="716"/>
      <c r="G938" s="716" t="s">
        <v>605</v>
      </c>
      <c r="H938" s="716" t="s">
        <v>606</v>
      </c>
      <c r="I938" s="716" t="s">
        <v>516</v>
      </c>
      <c r="J938" s="731">
        <v>-438</v>
      </c>
    </row>
    <row r="939" spans="1:10" s="549" customFormat="1" ht="13.5">
      <c r="A939" s="715"/>
      <c r="B939" s="728"/>
      <c r="C939" s="715" t="s">
        <v>541</v>
      </c>
      <c r="D939" s="715"/>
      <c r="E939" s="715" t="s">
        <v>513</v>
      </c>
      <c r="F939" s="715"/>
      <c r="G939" s="715" t="s">
        <v>605</v>
      </c>
      <c r="H939" s="715"/>
      <c r="I939" s="715"/>
      <c r="J939" s="732">
        <v>-20178</v>
      </c>
    </row>
    <row r="940" spans="1:10" ht="13.5">
      <c r="A940" s="598"/>
      <c r="B940" s="598"/>
      <c r="C940" s="716" t="s">
        <v>541</v>
      </c>
      <c r="D940" s="598"/>
      <c r="E940" s="716" t="s">
        <v>517</v>
      </c>
      <c r="F940" s="716"/>
      <c r="G940" s="716" t="s">
        <v>600</v>
      </c>
      <c r="H940" s="716" t="s">
        <v>630</v>
      </c>
      <c r="I940" s="716" t="s">
        <v>516</v>
      </c>
      <c r="J940" s="731">
        <v>2433</v>
      </c>
    </row>
    <row r="941" spans="1:10" ht="13.5">
      <c r="A941" s="716"/>
      <c r="B941" s="714"/>
      <c r="C941" s="716"/>
      <c r="D941" s="716"/>
      <c r="E941" s="716"/>
      <c r="F941" s="716"/>
      <c r="G941" s="716" t="s">
        <v>600</v>
      </c>
      <c r="H941" s="716" t="s">
        <v>597</v>
      </c>
      <c r="I941" s="716" t="s">
        <v>516</v>
      </c>
      <c r="J941" s="731">
        <v>243</v>
      </c>
    </row>
    <row r="942" spans="1:10" ht="13.5">
      <c r="A942" s="716"/>
      <c r="B942" s="714"/>
      <c r="C942" s="716"/>
      <c r="D942" s="716"/>
      <c r="E942" s="716"/>
      <c r="F942" s="716"/>
      <c r="G942" s="716" t="s">
        <v>600</v>
      </c>
      <c r="H942" s="716" t="s">
        <v>590</v>
      </c>
      <c r="I942" s="716" t="s">
        <v>516</v>
      </c>
      <c r="J942" s="731">
        <v>34</v>
      </c>
    </row>
    <row r="943" spans="1:10" ht="13.5">
      <c r="A943" s="716"/>
      <c r="B943" s="714"/>
      <c r="C943" s="716"/>
      <c r="D943" s="716"/>
      <c r="E943" s="716"/>
      <c r="F943" s="716"/>
      <c r="G943" s="716" t="s">
        <v>600</v>
      </c>
      <c r="H943" s="716" t="s">
        <v>591</v>
      </c>
      <c r="I943" s="716" t="s">
        <v>516</v>
      </c>
      <c r="J943" s="731">
        <v>341</v>
      </c>
    </row>
    <row r="944" spans="1:10" ht="13.5">
      <c r="A944" s="716"/>
      <c r="B944" s="714"/>
      <c r="C944" s="716"/>
      <c r="D944" s="716"/>
      <c r="E944" s="716"/>
      <c r="F944" s="716"/>
      <c r="G944" s="716" t="s">
        <v>600</v>
      </c>
      <c r="H944" s="716" t="s">
        <v>592</v>
      </c>
      <c r="I944" s="716" t="s">
        <v>516</v>
      </c>
      <c r="J944" s="731">
        <v>20</v>
      </c>
    </row>
    <row r="945" spans="1:10" ht="13.5">
      <c r="A945" s="716"/>
      <c r="B945" s="714"/>
      <c r="C945" s="716"/>
      <c r="D945" s="716"/>
      <c r="E945" s="716"/>
      <c r="F945" s="716"/>
      <c r="G945" s="716" t="s">
        <v>600</v>
      </c>
      <c r="H945" s="716" t="s">
        <v>593</v>
      </c>
      <c r="I945" s="716" t="s">
        <v>516</v>
      </c>
      <c r="J945" s="731">
        <v>73</v>
      </c>
    </row>
    <row r="946" spans="1:10" ht="13.5">
      <c r="A946" s="716"/>
      <c r="B946" s="714"/>
      <c r="C946" s="716"/>
      <c r="D946" s="716"/>
      <c r="E946" s="716"/>
      <c r="F946" s="716"/>
      <c r="G946" s="716" t="s">
        <v>600</v>
      </c>
      <c r="H946" s="716" t="s">
        <v>594</v>
      </c>
      <c r="I946" s="716" t="s">
        <v>516</v>
      </c>
      <c r="J946" s="731">
        <v>24</v>
      </c>
    </row>
    <row r="947" spans="1:10" ht="13.5">
      <c r="A947" s="716"/>
      <c r="B947" s="714"/>
      <c r="C947" s="716"/>
      <c r="D947" s="716"/>
      <c r="E947" s="716"/>
      <c r="F947" s="716"/>
      <c r="G947" s="716" t="s">
        <v>600</v>
      </c>
      <c r="H947" s="716" t="s">
        <v>595</v>
      </c>
      <c r="I947" s="716" t="s">
        <v>516</v>
      </c>
      <c r="J947" s="731">
        <v>6</v>
      </c>
    </row>
    <row r="948" spans="1:10" ht="13.5">
      <c r="A948" s="716"/>
      <c r="B948" s="714"/>
      <c r="C948" s="716"/>
      <c r="D948" s="716"/>
      <c r="E948" s="716"/>
      <c r="F948" s="716"/>
      <c r="G948" s="716" t="s">
        <v>600</v>
      </c>
      <c r="H948" s="716" t="s">
        <v>596</v>
      </c>
      <c r="I948" s="716" t="s">
        <v>516</v>
      </c>
      <c r="J948" s="731">
        <v>116</v>
      </c>
    </row>
    <row r="949" spans="1:10" ht="13.5">
      <c r="A949" s="716"/>
      <c r="B949" s="714"/>
      <c r="C949" s="716"/>
      <c r="D949" s="716"/>
      <c r="E949" s="716"/>
      <c r="F949" s="716"/>
      <c r="G949" s="716" t="s">
        <v>600</v>
      </c>
      <c r="H949" s="716" t="s">
        <v>606</v>
      </c>
      <c r="I949" s="716" t="s">
        <v>516</v>
      </c>
      <c r="J949" s="731">
        <v>73</v>
      </c>
    </row>
    <row r="950" spans="1:10" s="549" customFormat="1" ht="13.5">
      <c r="A950" s="715"/>
      <c r="B950" s="728"/>
      <c r="C950" s="715" t="s">
        <v>541</v>
      </c>
      <c r="D950" s="715"/>
      <c r="E950" s="715" t="s">
        <v>517</v>
      </c>
      <c r="F950" s="715"/>
      <c r="G950" s="715" t="s">
        <v>600</v>
      </c>
      <c r="H950" s="715"/>
      <c r="I950" s="715"/>
      <c r="J950" s="732">
        <f>SUM(J940:J949)</f>
        <v>3363</v>
      </c>
    </row>
    <row r="951" spans="1:10" ht="13.5">
      <c r="A951" s="716"/>
      <c r="B951" s="714"/>
      <c r="C951" s="716">
        <v>132</v>
      </c>
      <c r="D951" s="716"/>
      <c r="E951" s="716" t="s">
        <v>517</v>
      </c>
      <c r="F951" s="716"/>
      <c r="G951" s="716" t="s">
        <v>668</v>
      </c>
      <c r="H951" s="716" t="s">
        <v>630</v>
      </c>
      <c r="I951" s="716" t="s">
        <v>516</v>
      </c>
      <c r="J951" s="731">
        <v>2433</v>
      </c>
    </row>
    <row r="952" spans="1:10" ht="13.5">
      <c r="A952" s="716"/>
      <c r="B952" s="714"/>
      <c r="C952" s="716"/>
      <c r="D952" s="716"/>
      <c r="E952" s="716"/>
      <c r="F952" s="716"/>
      <c r="G952" s="716" t="s">
        <v>668</v>
      </c>
      <c r="H952" s="716" t="s">
        <v>597</v>
      </c>
      <c r="I952" s="716" t="s">
        <v>516</v>
      </c>
      <c r="J952" s="731">
        <v>243</v>
      </c>
    </row>
    <row r="953" spans="1:10" ht="13.5">
      <c r="A953" s="716"/>
      <c r="B953" s="714"/>
      <c r="C953" s="716"/>
      <c r="D953" s="716"/>
      <c r="E953" s="716"/>
      <c r="F953" s="716"/>
      <c r="G953" s="716" t="s">
        <v>668</v>
      </c>
      <c r="H953" s="716" t="s">
        <v>590</v>
      </c>
      <c r="I953" s="716" t="s">
        <v>516</v>
      </c>
      <c r="J953" s="731">
        <v>34</v>
      </c>
    </row>
    <row r="954" spans="1:10" ht="13.5">
      <c r="A954" s="716"/>
      <c r="B954" s="714"/>
      <c r="C954" s="716"/>
      <c r="D954" s="716"/>
      <c r="E954" s="716"/>
      <c r="F954" s="716"/>
      <c r="G954" s="716" t="s">
        <v>668</v>
      </c>
      <c r="H954" s="716" t="s">
        <v>591</v>
      </c>
      <c r="I954" s="716" t="s">
        <v>516</v>
      </c>
      <c r="J954" s="731">
        <v>341</v>
      </c>
    </row>
    <row r="955" spans="1:10" ht="13.5">
      <c r="A955" s="716"/>
      <c r="B955" s="714"/>
      <c r="C955" s="716"/>
      <c r="D955" s="716"/>
      <c r="E955" s="716"/>
      <c r="F955" s="716"/>
      <c r="G955" s="716" t="s">
        <v>668</v>
      </c>
      <c r="H955" s="716" t="s">
        <v>592</v>
      </c>
      <c r="I955" s="716" t="s">
        <v>516</v>
      </c>
      <c r="J955" s="731">
        <v>20</v>
      </c>
    </row>
    <row r="956" spans="1:10" ht="13.5">
      <c r="A956" s="716"/>
      <c r="B956" s="714"/>
      <c r="C956" s="716"/>
      <c r="D956" s="716"/>
      <c r="E956" s="716"/>
      <c r="F956" s="716"/>
      <c r="G956" s="716" t="s">
        <v>668</v>
      </c>
      <c r="H956" s="716" t="s">
        <v>593</v>
      </c>
      <c r="I956" s="716" t="s">
        <v>516</v>
      </c>
      <c r="J956" s="731">
        <v>73</v>
      </c>
    </row>
    <row r="957" spans="1:10" ht="13.5">
      <c r="A957" s="716"/>
      <c r="B957" s="714"/>
      <c r="C957" s="716"/>
      <c r="D957" s="716"/>
      <c r="E957" s="716"/>
      <c r="F957" s="716"/>
      <c r="G957" s="716" t="s">
        <v>668</v>
      </c>
      <c r="H957" s="716" t="s">
        <v>594</v>
      </c>
      <c r="I957" s="716" t="s">
        <v>516</v>
      </c>
      <c r="J957" s="731">
        <v>24</v>
      </c>
    </row>
    <row r="958" spans="1:10" ht="13.5">
      <c r="A958" s="716"/>
      <c r="B958" s="714"/>
      <c r="C958" s="716"/>
      <c r="D958" s="716"/>
      <c r="E958" s="716"/>
      <c r="F958" s="716"/>
      <c r="G958" s="716" t="s">
        <v>668</v>
      </c>
      <c r="H958" s="716" t="s">
        <v>595</v>
      </c>
      <c r="I958" s="716" t="s">
        <v>516</v>
      </c>
      <c r="J958" s="731">
        <v>6</v>
      </c>
    </row>
    <row r="959" spans="1:10" ht="13.5">
      <c r="A959" s="716"/>
      <c r="B959" s="714"/>
      <c r="C959" s="716"/>
      <c r="D959" s="716"/>
      <c r="E959" s="716"/>
      <c r="F959" s="716"/>
      <c r="G959" s="716" t="s">
        <v>668</v>
      </c>
      <c r="H959" s="716" t="s">
        <v>596</v>
      </c>
      <c r="I959" s="716" t="s">
        <v>516</v>
      </c>
      <c r="J959" s="731">
        <v>116</v>
      </c>
    </row>
    <row r="960" spans="1:10" ht="13.5">
      <c r="A960" s="716"/>
      <c r="B960" s="714"/>
      <c r="C960" s="716"/>
      <c r="D960" s="716"/>
      <c r="E960" s="716"/>
      <c r="F960" s="716"/>
      <c r="G960" s="716" t="s">
        <v>668</v>
      </c>
      <c r="H960" s="716" t="s">
        <v>606</v>
      </c>
      <c r="I960" s="716" t="s">
        <v>516</v>
      </c>
      <c r="J960" s="731">
        <v>73</v>
      </c>
    </row>
    <row r="961" spans="1:10" s="549" customFormat="1" ht="13.5">
      <c r="A961" s="715"/>
      <c r="B961" s="728"/>
      <c r="C961" s="715" t="s">
        <v>541</v>
      </c>
      <c r="D961" s="715"/>
      <c r="E961" s="715" t="s">
        <v>517</v>
      </c>
      <c r="F961" s="715"/>
      <c r="G961" s="715" t="s">
        <v>668</v>
      </c>
      <c r="H961" s="715"/>
      <c r="I961" s="715"/>
      <c r="J961" s="732">
        <f>SUM(J951:J960)</f>
        <v>3363</v>
      </c>
    </row>
    <row r="962" spans="1:10" ht="13.5">
      <c r="A962" s="716"/>
      <c r="B962" s="714"/>
      <c r="C962" s="716" t="s">
        <v>541</v>
      </c>
      <c r="D962" s="716"/>
      <c r="E962" s="716" t="s">
        <v>517</v>
      </c>
      <c r="F962" s="716"/>
      <c r="G962" s="716" t="s">
        <v>601</v>
      </c>
      <c r="H962" s="716" t="s">
        <v>630</v>
      </c>
      <c r="I962" s="716" t="s">
        <v>516</v>
      </c>
      <c r="J962" s="731">
        <v>2433</v>
      </c>
    </row>
    <row r="963" spans="1:10" ht="13.5">
      <c r="A963" s="716"/>
      <c r="B963" s="714"/>
      <c r="C963" s="716"/>
      <c r="D963" s="716"/>
      <c r="E963" s="716"/>
      <c r="F963" s="716"/>
      <c r="G963" s="716" t="s">
        <v>601</v>
      </c>
      <c r="H963" s="716" t="s">
        <v>597</v>
      </c>
      <c r="I963" s="716" t="s">
        <v>516</v>
      </c>
      <c r="J963" s="731">
        <v>243</v>
      </c>
    </row>
    <row r="964" spans="1:10" ht="13.5">
      <c r="A964" s="716"/>
      <c r="B964" s="714"/>
      <c r="C964" s="716"/>
      <c r="D964" s="716"/>
      <c r="E964" s="716"/>
      <c r="F964" s="716"/>
      <c r="G964" s="716" t="s">
        <v>601</v>
      </c>
      <c r="H964" s="716" t="s">
        <v>590</v>
      </c>
      <c r="I964" s="716" t="s">
        <v>516</v>
      </c>
      <c r="J964" s="731">
        <v>34</v>
      </c>
    </row>
    <row r="965" spans="1:10" ht="13.5">
      <c r="A965" s="716"/>
      <c r="B965" s="714"/>
      <c r="C965" s="716"/>
      <c r="D965" s="716"/>
      <c r="E965" s="716"/>
      <c r="F965" s="716"/>
      <c r="G965" s="716" t="s">
        <v>601</v>
      </c>
      <c r="H965" s="716" t="s">
        <v>591</v>
      </c>
      <c r="I965" s="716" t="s">
        <v>516</v>
      </c>
      <c r="J965" s="731">
        <v>341</v>
      </c>
    </row>
    <row r="966" spans="1:10" ht="13.5">
      <c r="A966" s="716"/>
      <c r="B966" s="714"/>
      <c r="C966" s="716"/>
      <c r="D966" s="716"/>
      <c r="E966" s="716"/>
      <c r="F966" s="716"/>
      <c r="G966" s="716" t="s">
        <v>601</v>
      </c>
      <c r="H966" s="716" t="s">
        <v>592</v>
      </c>
      <c r="I966" s="716" t="s">
        <v>516</v>
      </c>
      <c r="J966" s="731">
        <v>20</v>
      </c>
    </row>
    <row r="967" spans="1:10" ht="13.5">
      <c r="A967" s="716"/>
      <c r="B967" s="714"/>
      <c r="C967" s="716"/>
      <c r="D967" s="716"/>
      <c r="E967" s="716"/>
      <c r="F967" s="716"/>
      <c r="G967" s="716" t="s">
        <v>601</v>
      </c>
      <c r="H967" s="716" t="s">
        <v>593</v>
      </c>
      <c r="I967" s="716" t="s">
        <v>516</v>
      </c>
      <c r="J967" s="731">
        <v>73</v>
      </c>
    </row>
    <row r="968" spans="1:10" ht="13.5">
      <c r="A968" s="716"/>
      <c r="B968" s="714"/>
      <c r="C968" s="716"/>
      <c r="D968" s="716"/>
      <c r="E968" s="716"/>
      <c r="F968" s="716"/>
      <c r="G968" s="716" t="s">
        <v>601</v>
      </c>
      <c r="H968" s="716" t="s">
        <v>594</v>
      </c>
      <c r="I968" s="716" t="s">
        <v>516</v>
      </c>
      <c r="J968" s="731">
        <v>24</v>
      </c>
    </row>
    <row r="969" spans="1:10" ht="13.5">
      <c r="A969" s="716"/>
      <c r="B969" s="714"/>
      <c r="C969" s="716"/>
      <c r="D969" s="716"/>
      <c r="E969" s="716"/>
      <c r="F969" s="716"/>
      <c r="G969" s="716" t="s">
        <v>601</v>
      </c>
      <c r="H969" s="716" t="s">
        <v>595</v>
      </c>
      <c r="I969" s="716" t="s">
        <v>516</v>
      </c>
      <c r="J969" s="731">
        <v>6</v>
      </c>
    </row>
    <row r="970" spans="1:10" ht="13.5">
      <c r="A970" s="716"/>
      <c r="B970" s="714"/>
      <c r="C970" s="716"/>
      <c r="D970" s="716"/>
      <c r="E970" s="716"/>
      <c r="F970" s="716"/>
      <c r="G970" s="716" t="s">
        <v>601</v>
      </c>
      <c r="H970" s="716" t="s">
        <v>596</v>
      </c>
      <c r="I970" s="716" t="s">
        <v>516</v>
      </c>
      <c r="J970" s="731">
        <v>116</v>
      </c>
    </row>
    <row r="971" spans="1:10" ht="13.5">
      <c r="A971" s="716"/>
      <c r="B971" s="714"/>
      <c r="C971" s="716"/>
      <c r="D971" s="716"/>
      <c r="E971" s="716"/>
      <c r="F971" s="716"/>
      <c r="G971" s="716" t="s">
        <v>601</v>
      </c>
      <c r="H971" s="716" t="s">
        <v>606</v>
      </c>
      <c r="I971" s="716" t="s">
        <v>516</v>
      </c>
      <c r="J971" s="731">
        <v>73</v>
      </c>
    </row>
    <row r="972" spans="1:10" s="549" customFormat="1" ht="13.5">
      <c r="A972" s="715"/>
      <c r="B972" s="728"/>
      <c r="C972" s="715" t="s">
        <v>541</v>
      </c>
      <c r="D972" s="715"/>
      <c r="E972" s="715" t="s">
        <v>517</v>
      </c>
      <c r="F972" s="715"/>
      <c r="G972" s="715" t="s">
        <v>601</v>
      </c>
      <c r="H972" s="715"/>
      <c r="I972" s="715"/>
      <c r="J972" s="732">
        <f>SUM(J962:J971)</f>
        <v>3363</v>
      </c>
    </row>
    <row r="973" spans="1:10" ht="13.5">
      <c r="A973" s="716"/>
      <c r="B973" s="714"/>
      <c r="C973" s="716" t="s">
        <v>541</v>
      </c>
      <c r="D973" s="716"/>
      <c r="E973" s="716" t="s">
        <v>517</v>
      </c>
      <c r="F973" s="716"/>
      <c r="G973" s="716" t="s">
        <v>698</v>
      </c>
      <c r="H973" s="716" t="s">
        <v>630</v>
      </c>
      <c r="I973" s="716" t="s">
        <v>516</v>
      </c>
      <c r="J973" s="731">
        <v>2433</v>
      </c>
    </row>
    <row r="974" spans="1:10" ht="13.5">
      <c r="A974" s="716"/>
      <c r="B974" s="714"/>
      <c r="C974" s="716"/>
      <c r="D974" s="716"/>
      <c r="E974" s="716"/>
      <c r="F974" s="716"/>
      <c r="G974" s="716" t="s">
        <v>698</v>
      </c>
      <c r="H974" s="716" t="s">
        <v>597</v>
      </c>
      <c r="I974" s="716" t="s">
        <v>516</v>
      </c>
      <c r="J974" s="731">
        <v>243</v>
      </c>
    </row>
    <row r="975" spans="1:10" ht="13.5">
      <c r="A975" s="716"/>
      <c r="B975" s="714"/>
      <c r="C975" s="716"/>
      <c r="D975" s="716"/>
      <c r="E975" s="716"/>
      <c r="F975" s="716"/>
      <c r="G975" s="716" t="s">
        <v>698</v>
      </c>
      <c r="H975" s="716" t="s">
        <v>590</v>
      </c>
      <c r="I975" s="716" t="s">
        <v>516</v>
      </c>
      <c r="J975" s="731">
        <v>34</v>
      </c>
    </row>
    <row r="976" spans="1:10" ht="13.5">
      <c r="A976" s="716"/>
      <c r="B976" s="714"/>
      <c r="C976" s="716"/>
      <c r="D976" s="716"/>
      <c r="E976" s="716"/>
      <c r="F976" s="716"/>
      <c r="G976" s="716" t="s">
        <v>698</v>
      </c>
      <c r="H976" s="716" t="s">
        <v>591</v>
      </c>
      <c r="I976" s="716" t="s">
        <v>516</v>
      </c>
      <c r="J976" s="731">
        <v>341</v>
      </c>
    </row>
    <row r="977" spans="1:10" ht="13.5">
      <c r="A977" s="716"/>
      <c r="B977" s="714"/>
      <c r="C977" s="716"/>
      <c r="D977" s="716"/>
      <c r="E977" s="716"/>
      <c r="F977" s="716"/>
      <c r="G977" s="716" t="s">
        <v>698</v>
      </c>
      <c r="H977" s="716" t="s">
        <v>592</v>
      </c>
      <c r="I977" s="716" t="s">
        <v>516</v>
      </c>
      <c r="J977" s="731">
        <v>20</v>
      </c>
    </row>
    <row r="978" spans="1:10" ht="13.5">
      <c r="A978" s="716"/>
      <c r="B978" s="714"/>
      <c r="C978" s="716"/>
      <c r="D978" s="716"/>
      <c r="E978" s="716"/>
      <c r="F978" s="716"/>
      <c r="G978" s="716" t="s">
        <v>698</v>
      </c>
      <c r="H978" s="716" t="s">
        <v>593</v>
      </c>
      <c r="I978" s="716" t="s">
        <v>516</v>
      </c>
      <c r="J978" s="731">
        <v>73</v>
      </c>
    </row>
    <row r="979" spans="1:10" ht="13.5">
      <c r="A979" s="716"/>
      <c r="B979" s="714"/>
      <c r="C979" s="716"/>
      <c r="D979" s="716"/>
      <c r="E979" s="716"/>
      <c r="F979" s="716"/>
      <c r="G979" s="716" t="s">
        <v>698</v>
      </c>
      <c r="H979" s="716" t="s">
        <v>594</v>
      </c>
      <c r="I979" s="716" t="s">
        <v>516</v>
      </c>
      <c r="J979" s="731">
        <v>24</v>
      </c>
    </row>
    <row r="980" spans="1:10" ht="13.5">
      <c r="A980" s="716"/>
      <c r="B980" s="714"/>
      <c r="C980" s="716"/>
      <c r="D980" s="716"/>
      <c r="E980" s="716"/>
      <c r="F980" s="716"/>
      <c r="G980" s="716" t="s">
        <v>698</v>
      </c>
      <c r="H980" s="716" t="s">
        <v>595</v>
      </c>
      <c r="I980" s="716" t="s">
        <v>516</v>
      </c>
      <c r="J980" s="731">
        <v>6</v>
      </c>
    </row>
    <row r="981" spans="1:10" ht="13.5">
      <c r="A981" s="716"/>
      <c r="B981" s="714"/>
      <c r="C981" s="716"/>
      <c r="D981" s="716"/>
      <c r="E981" s="716"/>
      <c r="F981" s="716"/>
      <c r="G981" s="716" t="s">
        <v>698</v>
      </c>
      <c r="H981" s="716" t="s">
        <v>596</v>
      </c>
      <c r="I981" s="716" t="s">
        <v>516</v>
      </c>
      <c r="J981" s="731">
        <v>116</v>
      </c>
    </row>
    <row r="982" spans="1:10" ht="13.5">
      <c r="A982" s="716"/>
      <c r="B982" s="714"/>
      <c r="C982" s="716"/>
      <c r="D982" s="716"/>
      <c r="E982" s="716"/>
      <c r="F982" s="716"/>
      <c r="G982" s="716" t="s">
        <v>698</v>
      </c>
      <c r="H982" s="716" t="s">
        <v>606</v>
      </c>
      <c r="I982" s="716" t="s">
        <v>516</v>
      </c>
      <c r="J982" s="731">
        <v>73</v>
      </c>
    </row>
    <row r="983" spans="1:10" s="549" customFormat="1" ht="13.5">
      <c r="A983" s="715"/>
      <c r="B983" s="728"/>
      <c r="C983" s="715" t="s">
        <v>541</v>
      </c>
      <c r="D983" s="715"/>
      <c r="E983" s="715" t="s">
        <v>517</v>
      </c>
      <c r="F983" s="715"/>
      <c r="G983" s="715" t="s">
        <v>698</v>
      </c>
      <c r="H983" s="715"/>
      <c r="I983" s="715"/>
      <c r="J983" s="732">
        <f>SUM(J973:J982)</f>
        <v>3363</v>
      </c>
    </row>
    <row r="984" spans="1:10" ht="13.5">
      <c r="A984" s="716"/>
      <c r="B984" s="714"/>
      <c r="C984" s="716" t="s">
        <v>541</v>
      </c>
      <c r="D984" s="716"/>
      <c r="E984" s="716" t="s">
        <v>517</v>
      </c>
      <c r="F984" s="716"/>
      <c r="G984" s="716" t="s">
        <v>699</v>
      </c>
      <c r="H984" s="716" t="s">
        <v>630</v>
      </c>
      <c r="I984" s="716" t="s">
        <v>516</v>
      </c>
      <c r="J984" s="731">
        <v>2433</v>
      </c>
    </row>
    <row r="985" spans="1:10" ht="13.5">
      <c r="A985" s="716"/>
      <c r="B985" s="714"/>
      <c r="C985" s="716"/>
      <c r="D985" s="716"/>
      <c r="E985" s="716"/>
      <c r="F985" s="716"/>
      <c r="G985" s="716" t="s">
        <v>699</v>
      </c>
      <c r="H985" s="716" t="s">
        <v>597</v>
      </c>
      <c r="I985" s="716" t="s">
        <v>516</v>
      </c>
      <c r="J985" s="731">
        <v>243</v>
      </c>
    </row>
    <row r="986" spans="1:10" ht="13.5">
      <c r="A986" s="716"/>
      <c r="B986" s="714"/>
      <c r="C986" s="716"/>
      <c r="D986" s="716"/>
      <c r="E986" s="716"/>
      <c r="F986" s="716"/>
      <c r="G986" s="716" t="s">
        <v>699</v>
      </c>
      <c r="H986" s="716" t="s">
        <v>590</v>
      </c>
      <c r="I986" s="716" t="s">
        <v>516</v>
      </c>
      <c r="J986" s="731">
        <v>34</v>
      </c>
    </row>
    <row r="987" spans="1:10" ht="13.5">
      <c r="A987" s="716"/>
      <c r="B987" s="714"/>
      <c r="C987" s="716"/>
      <c r="D987" s="716"/>
      <c r="E987" s="716"/>
      <c r="F987" s="716"/>
      <c r="G987" s="716" t="s">
        <v>699</v>
      </c>
      <c r="H987" s="716" t="s">
        <v>591</v>
      </c>
      <c r="I987" s="716" t="s">
        <v>516</v>
      </c>
      <c r="J987" s="731">
        <v>341</v>
      </c>
    </row>
    <row r="988" spans="1:10" ht="13.5">
      <c r="A988" s="716"/>
      <c r="B988" s="714"/>
      <c r="C988" s="716"/>
      <c r="D988" s="716"/>
      <c r="E988" s="716"/>
      <c r="F988" s="716"/>
      <c r="G988" s="716" t="s">
        <v>699</v>
      </c>
      <c r="H988" s="716" t="s">
        <v>592</v>
      </c>
      <c r="I988" s="716" t="s">
        <v>516</v>
      </c>
      <c r="J988" s="731">
        <v>20</v>
      </c>
    </row>
    <row r="989" spans="1:10" ht="13.5">
      <c r="A989" s="716"/>
      <c r="B989" s="714"/>
      <c r="C989" s="716"/>
      <c r="D989" s="716"/>
      <c r="E989" s="716"/>
      <c r="F989" s="716"/>
      <c r="G989" s="716" t="s">
        <v>699</v>
      </c>
      <c r="H989" s="716" t="s">
        <v>593</v>
      </c>
      <c r="I989" s="716" t="s">
        <v>516</v>
      </c>
      <c r="J989" s="731">
        <v>73</v>
      </c>
    </row>
    <row r="990" spans="1:10" ht="13.5">
      <c r="A990" s="716"/>
      <c r="B990" s="714"/>
      <c r="C990" s="716"/>
      <c r="D990" s="716"/>
      <c r="E990" s="716"/>
      <c r="F990" s="716"/>
      <c r="G990" s="716" t="s">
        <v>699</v>
      </c>
      <c r="H990" s="716" t="s">
        <v>594</v>
      </c>
      <c r="I990" s="716" t="s">
        <v>516</v>
      </c>
      <c r="J990" s="731">
        <v>24</v>
      </c>
    </row>
    <row r="991" spans="1:10" ht="13.5">
      <c r="A991" s="716"/>
      <c r="B991" s="714"/>
      <c r="C991" s="716"/>
      <c r="D991" s="716"/>
      <c r="E991" s="716"/>
      <c r="F991" s="716"/>
      <c r="G991" s="716" t="s">
        <v>699</v>
      </c>
      <c r="H991" s="716" t="s">
        <v>595</v>
      </c>
      <c r="I991" s="716" t="s">
        <v>516</v>
      </c>
      <c r="J991" s="731">
        <v>6</v>
      </c>
    </row>
    <row r="992" spans="1:10" ht="13.5">
      <c r="A992" s="716"/>
      <c r="B992" s="714"/>
      <c r="C992" s="716"/>
      <c r="D992" s="716"/>
      <c r="E992" s="716"/>
      <c r="F992" s="716"/>
      <c r="G992" s="716" t="s">
        <v>699</v>
      </c>
      <c r="H992" s="716" t="s">
        <v>596</v>
      </c>
      <c r="I992" s="716" t="s">
        <v>516</v>
      </c>
      <c r="J992" s="731">
        <v>116</v>
      </c>
    </row>
    <row r="993" spans="1:10" ht="13.5">
      <c r="A993" s="716"/>
      <c r="B993" s="714"/>
      <c r="C993" s="716"/>
      <c r="D993" s="716"/>
      <c r="E993" s="716"/>
      <c r="F993" s="716"/>
      <c r="G993" s="716" t="s">
        <v>699</v>
      </c>
      <c r="H993" s="716" t="s">
        <v>606</v>
      </c>
      <c r="I993" s="716" t="s">
        <v>516</v>
      </c>
      <c r="J993" s="731">
        <v>73</v>
      </c>
    </row>
    <row r="994" spans="1:10" s="549" customFormat="1" ht="13.5">
      <c r="A994" s="715"/>
      <c r="B994" s="728"/>
      <c r="C994" s="715" t="s">
        <v>541</v>
      </c>
      <c r="D994" s="715"/>
      <c r="E994" s="715" t="s">
        <v>517</v>
      </c>
      <c r="F994" s="715"/>
      <c r="G994" s="715" t="s">
        <v>699</v>
      </c>
      <c r="H994" s="715"/>
      <c r="I994" s="715"/>
      <c r="J994" s="732">
        <f>SUM(J984:J993)</f>
        <v>3363</v>
      </c>
    </row>
    <row r="995" spans="1:10" ht="13.5">
      <c r="A995" s="716"/>
      <c r="B995" s="714"/>
      <c r="C995" s="716" t="s">
        <v>541</v>
      </c>
      <c r="D995" s="716"/>
      <c r="E995" s="716" t="s">
        <v>517</v>
      </c>
      <c r="F995" s="716"/>
      <c r="G995" s="716" t="s">
        <v>612</v>
      </c>
      <c r="H995" s="716" t="s">
        <v>630</v>
      </c>
      <c r="I995" s="716" t="s">
        <v>516</v>
      </c>
      <c r="J995" s="731">
        <v>2433</v>
      </c>
    </row>
    <row r="996" spans="1:10" ht="13.5">
      <c r="A996" s="716"/>
      <c r="B996" s="714"/>
      <c r="C996" s="716"/>
      <c r="D996" s="716"/>
      <c r="E996" s="716"/>
      <c r="F996" s="716"/>
      <c r="G996" s="716" t="s">
        <v>612</v>
      </c>
      <c r="H996" s="716" t="s">
        <v>597</v>
      </c>
      <c r="I996" s="716" t="s">
        <v>516</v>
      </c>
      <c r="J996" s="731">
        <v>243</v>
      </c>
    </row>
    <row r="997" spans="1:10" ht="13.5">
      <c r="A997" s="716"/>
      <c r="B997" s="714"/>
      <c r="C997" s="716"/>
      <c r="D997" s="716"/>
      <c r="E997" s="716"/>
      <c r="F997" s="716"/>
      <c r="G997" s="716" t="s">
        <v>612</v>
      </c>
      <c r="H997" s="716" t="s">
        <v>590</v>
      </c>
      <c r="I997" s="716" t="s">
        <v>516</v>
      </c>
      <c r="J997" s="731">
        <v>34</v>
      </c>
    </row>
    <row r="998" spans="1:10" ht="13.5">
      <c r="A998" s="716"/>
      <c r="B998" s="714"/>
      <c r="C998" s="716"/>
      <c r="D998" s="716"/>
      <c r="E998" s="716"/>
      <c r="F998" s="716"/>
      <c r="G998" s="716" t="s">
        <v>612</v>
      </c>
      <c r="H998" s="716" t="s">
        <v>591</v>
      </c>
      <c r="I998" s="716" t="s">
        <v>516</v>
      </c>
      <c r="J998" s="731">
        <v>341</v>
      </c>
    </row>
    <row r="999" spans="1:10" ht="13.5">
      <c r="A999" s="716"/>
      <c r="B999" s="714"/>
      <c r="C999" s="716"/>
      <c r="D999" s="716"/>
      <c r="E999" s="716"/>
      <c r="F999" s="716"/>
      <c r="G999" s="716" t="s">
        <v>612</v>
      </c>
      <c r="H999" s="716" t="s">
        <v>592</v>
      </c>
      <c r="I999" s="716" t="s">
        <v>516</v>
      </c>
      <c r="J999" s="731">
        <v>20</v>
      </c>
    </row>
    <row r="1000" spans="1:10" ht="13.5">
      <c r="A1000" s="716"/>
      <c r="B1000" s="714"/>
      <c r="C1000" s="716"/>
      <c r="D1000" s="716"/>
      <c r="E1000" s="716"/>
      <c r="F1000" s="716"/>
      <c r="G1000" s="716" t="s">
        <v>612</v>
      </c>
      <c r="H1000" s="716" t="s">
        <v>593</v>
      </c>
      <c r="I1000" s="716" t="s">
        <v>516</v>
      </c>
      <c r="J1000" s="731">
        <v>73</v>
      </c>
    </row>
    <row r="1001" spans="1:10" ht="13.5">
      <c r="A1001" s="716"/>
      <c r="B1001" s="714"/>
      <c r="C1001" s="716"/>
      <c r="D1001" s="716"/>
      <c r="E1001" s="716"/>
      <c r="F1001" s="716"/>
      <c r="G1001" s="716" t="s">
        <v>612</v>
      </c>
      <c r="H1001" s="716" t="s">
        <v>594</v>
      </c>
      <c r="I1001" s="716" t="s">
        <v>516</v>
      </c>
      <c r="J1001" s="731">
        <v>24</v>
      </c>
    </row>
    <row r="1002" spans="1:10" ht="13.5">
      <c r="A1002" s="716"/>
      <c r="B1002" s="714"/>
      <c r="C1002" s="716"/>
      <c r="D1002" s="716"/>
      <c r="E1002" s="716"/>
      <c r="F1002" s="716"/>
      <c r="G1002" s="716" t="s">
        <v>612</v>
      </c>
      <c r="H1002" s="716" t="s">
        <v>595</v>
      </c>
      <c r="I1002" s="716" t="s">
        <v>516</v>
      </c>
      <c r="J1002" s="731">
        <v>6</v>
      </c>
    </row>
    <row r="1003" spans="1:10" ht="13.5">
      <c r="A1003" s="716"/>
      <c r="B1003" s="714"/>
      <c r="C1003" s="716"/>
      <c r="D1003" s="716"/>
      <c r="E1003" s="716"/>
      <c r="F1003" s="716"/>
      <c r="G1003" s="716" t="s">
        <v>612</v>
      </c>
      <c r="H1003" s="716" t="s">
        <v>596</v>
      </c>
      <c r="I1003" s="716" t="s">
        <v>516</v>
      </c>
      <c r="J1003" s="731">
        <v>116</v>
      </c>
    </row>
    <row r="1004" spans="1:10" ht="13.5">
      <c r="A1004" s="716"/>
      <c r="B1004" s="714"/>
      <c r="C1004" s="716"/>
      <c r="D1004" s="716"/>
      <c r="E1004" s="716"/>
      <c r="F1004" s="716"/>
      <c r="G1004" s="716" t="s">
        <v>612</v>
      </c>
      <c r="H1004" s="716" t="s">
        <v>606</v>
      </c>
      <c r="I1004" s="716" t="s">
        <v>516</v>
      </c>
      <c r="J1004" s="731">
        <v>73</v>
      </c>
    </row>
    <row r="1005" spans="1:10" s="549" customFormat="1" ht="13.5">
      <c r="A1005" s="720" t="s">
        <v>783</v>
      </c>
      <c r="B1005" s="721"/>
      <c r="C1005" s="722" t="s">
        <v>541</v>
      </c>
      <c r="D1005" s="722"/>
      <c r="E1005" s="722" t="s">
        <v>517</v>
      </c>
      <c r="F1005" s="722"/>
      <c r="G1005" s="722" t="s">
        <v>612</v>
      </c>
      <c r="H1005" s="722"/>
      <c r="I1005" s="722"/>
      <c r="J1005" s="726">
        <f>SUM(J995:J1004)</f>
        <v>3363</v>
      </c>
    </row>
    <row r="1006" spans="1:10" ht="12.75">
      <c r="A1006" s="582"/>
      <c r="B1006" s="582"/>
      <c r="C1006" s="582"/>
      <c r="D1006" s="582"/>
      <c r="E1006" s="582"/>
      <c r="F1006" s="582"/>
      <c r="G1006" s="582"/>
      <c r="H1006" s="582"/>
      <c r="I1006" s="582"/>
      <c r="J1006" s="733"/>
    </row>
    <row r="1007" spans="1:10" ht="13.5">
      <c r="A1007" s="709" t="s">
        <v>784</v>
      </c>
      <c r="B1007" s="710">
        <v>41607</v>
      </c>
      <c r="C1007" s="709" t="s">
        <v>541</v>
      </c>
      <c r="D1007" s="709" t="s">
        <v>785</v>
      </c>
      <c r="E1007" s="709" t="s">
        <v>517</v>
      </c>
      <c r="F1007" s="543" t="s">
        <v>514</v>
      </c>
      <c r="G1007" s="709" t="s">
        <v>540</v>
      </c>
      <c r="H1007" s="709" t="s">
        <v>711</v>
      </c>
      <c r="I1007" s="709" t="s">
        <v>712</v>
      </c>
      <c r="J1007" s="725">
        <v>42000</v>
      </c>
    </row>
    <row r="1008" spans="1:10" ht="13.5">
      <c r="A1008" s="709"/>
      <c r="B1008" s="710"/>
      <c r="C1008" s="709"/>
      <c r="D1008" s="709"/>
      <c r="E1008" s="709" t="s">
        <v>513</v>
      </c>
      <c r="F1008" s="654" t="s">
        <v>518</v>
      </c>
      <c r="G1008" s="709" t="s">
        <v>540</v>
      </c>
      <c r="H1008" s="709" t="s">
        <v>713</v>
      </c>
      <c r="I1008" s="709" t="s">
        <v>714</v>
      </c>
      <c r="J1008" s="725">
        <v>-112840</v>
      </c>
    </row>
    <row r="1009" spans="1:10" ht="13.5">
      <c r="A1009" s="709"/>
      <c r="B1009" s="710"/>
      <c r="C1009" s="709"/>
      <c r="D1009" s="709"/>
      <c r="E1009" s="709" t="s">
        <v>513</v>
      </c>
      <c r="F1009" s="709"/>
      <c r="G1009" s="709" t="s">
        <v>540</v>
      </c>
      <c r="H1009" s="709" t="s">
        <v>553</v>
      </c>
      <c r="I1009" s="709" t="s">
        <v>646</v>
      </c>
      <c r="J1009" s="725">
        <v>-1070</v>
      </c>
    </row>
    <row r="1010" spans="1:10" ht="13.5">
      <c r="A1010" s="709"/>
      <c r="B1010" s="710"/>
      <c r="C1010" s="709"/>
      <c r="D1010" s="709"/>
      <c r="E1010" s="709" t="s">
        <v>517</v>
      </c>
      <c r="F1010" s="709"/>
      <c r="G1010" s="709" t="s">
        <v>540</v>
      </c>
      <c r="H1010" s="709" t="s">
        <v>553</v>
      </c>
      <c r="I1010" s="709" t="s">
        <v>716</v>
      </c>
      <c r="J1010" s="725">
        <v>511</v>
      </c>
    </row>
    <row r="1011" spans="1:10" ht="13.5">
      <c r="A1011" s="709"/>
      <c r="B1011" s="710"/>
      <c r="C1011" s="709"/>
      <c r="D1011" s="709"/>
      <c r="E1011" s="709" t="s">
        <v>513</v>
      </c>
      <c r="F1011" s="709"/>
      <c r="G1011" s="709" t="s">
        <v>540</v>
      </c>
      <c r="H1011" s="709" t="s">
        <v>553</v>
      </c>
      <c r="I1011" s="709" t="s">
        <v>786</v>
      </c>
      <c r="J1011" s="725">
        <v>-180</v>
      </c>
    </row>
    <row r="1012" spans="1:10" ht="13.5">
      <c r="A1012" s="709"/>
      <c r="B1012" s="710"/>
      <c r="C1012" s="709"/>
      <c r="D1012" s="709"/>
      <c r="E1012" s="709" t="s">
        <v>517</v>
      </c>
      <c r="F1012" s="709"/>
      <c r="G1012" s="709" t="s">
        <v>540</v>
      </c>
      <c r="H1012" s="709" t="s">
        <v>553</v>
      </c>
      <c r="I1012" s="709" t="s">
        <v>787</v>
      </c>
      <c r="J1012" s="725">
        <v>580</v>
      </c>
    </row>
    <row r="1013" spans="1:10" ht="13.5">
      <c r="A1013" s="709"/>
      <c r="B1013" s="710"/>
      <c r="C1013" s="709"/>
      <c r="D1013" s="709"/>
      <c r="E1013" s="709" t="s">
        <v>513</v>
      </c>
      <c r="F1013" s="709"/>
      <c r="G1013" s="709" t="s">
        <v>540</v>
      </c>
      <c r="H1013" s="709" t="s">
        <v>553</v>
      </c>
      <c r="I1013" s="709" t="s">
        <v>566</v>
      </c>
      <c r="J1013" s="725">
        <v>-584</v>
      </c>
    </row>
    <row r="1014" spans="1:10" ht="13.5">
      <c r="A1014" s="709"/>
      <c r="B1014" s="710"/>
      <c r="C1014" s="709"/>
      <c r="D1014" s="709"/>
      <c r="E1014" s="709" t="s">
        <v>513</v>
      </c>
      <c r="F1014" s="709"/>
      <c r="G1014" s="709" t="s">
        <v>540</v>
      </c>
      <c r="H1014" s="709" t="s">
        <v>553</v>
      </c>
      <c r="I1014" s="709" t="s">
        <v>788</v>
      </c>
      <c r="J1014" s="725">
        <v>-15000</v>
      </c>
    </row>
    <row r="1015" spans="1:10" ht="13.5">
      <c r="A1015" s="709"/>
      <c r="B1015" s="710"/>
      <c r="C1015" s="709"/>
      <c r="D1015" s="709"/>
      <c r="E1015" s="709" t="s">
        <v>513</v>
      </c>
      <c r="F1015" s="709"/>
      <c r="G1015" s="709" t="s">
        <v>540</v>
      </c>
      <c r="H1015" s="709" t="s">
        <v>553</v>
      </c>
      <c r="I1015" s="709" t="s">
        <v>715</v>
      </c>
      <c r="J1015" s="725">
        <v>-5600</v>
      </c>
    </row>
    <row r="1016" spans="1:10" ht="13.5">
      <c r="A1016" s="709"/>
      <c r="B1016" s="710"/>
      <c r="C1016" s="709"/>
      <c r="D1016" s="709"/>
      <c r="E1016" s="709" t="s">
        <v>513</v>
      </c>
      <c r="F1016" s="709"/>
      <c r="G1016" s="709" t="s">
        <v>540</v>
      </c>
      <c r="H1016" s="709" t="s">
        <v>553</v>
      </c>
      <c r="I1016" s="709" t="s">
        <v>568</v>
      </c>
      <c r="J1016" s="725">
        <v>-20</v>
      </c>
    </row>
    <row r="1017" spans="1:10" ht="13.5">
      <c r="A1017" s="709"/>
      <c r="B1017" s="710"/>
      <c r="C1017" s="709"/>
      <c r="D1017" s="709"/>
      <c r="E1017" s="709" t="s">
        <v>513</v>
      </c>
      <c r="F1017" s="709"/>
      <c r="G1017" s="709" t="s">
        <v>540</v>
      </c>
      <c r="H1017" s="709" t="s">
        <v>557</v>
      </c>
      <c r="I1017" s="709" t="s">
        <v>719</v>
      </c>
      <c r="J1017" s="725">
        <v>-51200</v>
      </c>
    </row>
    <row r="1018" spans="1:10" ht="13.5">
      <c r="A1018" s="709"/>
      <c r="B1018" s="710"/>
      <c r="C1018" s="709"/>
      <c r="D1018" s="709"/>
      <c r="E1018" s="709" t="s">
        <v>513</v>
      </c>
      <c r="F1018" s="709"/>
      <c r="G1018" s="709" t="s">
        <v>540</v>
      </c>
      <c r="H1018" s="709" t="s">
        <v>557</v>
      </c>
      <c r="I1018" s="709" t="s">
        <v>579</v>
      </c>
      <c r="J1018" s="725">
        <v>-6900</v>
      </c>
    </row>
    <row r="1019" spans="1:10" ht="13.5">
      <c r="A1019" s="709"/>
      <c r="B1019" s="710"/>
      <c r="C1019" s="709"/>
      <c r="D1019" s="709"/>
      <c r="E1019" s="709" t="s">
        <v>517</v>
      </c>
      <c r="F1019" s="709"/>
      <c r="G1019" s="709" t="s">
        <v>540</v>
      </c>
      <c r="H1019" s="709" t="s">
        <v>557</v>
      </c>
      <c r="I1019" s="709" t="s">
        <v>721</v>
      </c>
      <c r="J1019" s="725">
        <v>1000</v>
      </c>
    </row>
    <row r="1020" spans="1:10" ht="13.5">
      <c r="A1020" s="709"/>
      <c r="B1020" s="710"/>
      <c r="C1020" s="709"/>
      <c r="D1020" s="709"/>
      <c r="E1020" s="709" t="s">
        <v>513</v>
      </c>
      <c r="F1020" s="709"/>
      <c r="G1020" s="709" t="s">
        <v>540</v>
      </c>
      <c r="H1020" s="709" t="s">
        <v>557</v>
      </c>
      <c r="I1020" s="709" t="s">
        <v>570</v>
      </c>
      <c r="J1020" s="725">
        <v>-45000</v>
      </c>
    </row>
    <row r="1021" spans="1:10" ht="13.5">
      <c r="A1021" s="709"/>
      <c r="B1021" s="710"/>
      <c r="C1021" s="709"/>
      <c r="D1021" s="709"/>
      <c r="E1021" s="709" t="s">
        <v>513</v>
      </c>
      <c r="F1021" s="709"/>
      <c r="G1021" s="709" t="s">
        <v>540</v>
      </c>
      <c r="H1021" s="709" t="s">
        <v>557</v>
      </c>
      <c r="I1021" s="709" t="s">
        <v>647</v>
      </c>
      <c r="J1021" s="725">
        <v>-490</v>
      </c>
    </row>
    <row r="1022" spans="1:10" ht="13.5">
      <c r="A1022" s="709"/>
      <c r="B1022" s="710"/>
      <c r="C1022" s="709"/>
      <c r="D1022" s="709"/>
      <c r="E1022" s="709" t="s">
        <v>517</v>
      </c>
      <c r="F1022" s="709"/>
      <c r="G1022" s="709" t="s">
        <v>540</v>
      </c>
      <c r="H1022" s="709" t="s">
        <v>557</v>
      </c>
      <c r="I1022" s="709" t="s">
        <v>574</v>
      </c>
      <c r="J1022" s="725">
        <v>1995</v>
      </c>
    </row>
    <row r="1023" spans="1:10" ht="13.5">
      <c r="A1023" s="709"/>
      <c r="B1023" s="710"/>
      <c r="C1023" s="709"/>
      <c r="D1023" s="709"/>
      <c r="E1023" s="709" t="s">
        <v>517</v>
      </c>
      <c r="F1023" s="709"/>
      <c r="G1023" s="709" t="s">
        <v>540</v>
      </c>
      <c r="H1023" s="709" t="s">
        <v>557</v>
      </c>
      <c r="I1023" s="709" t="s">
        <v>571</v>
      </c>
      <c r="J1023" s="725">
        <v>860</v>
      </c>
    </row>
    <row r="1024" spans="1:10" ht="13.5">
      <c r="A1024" s="709"/>
      <c r="B1024" s="710"/>
      <c r="C1024" s="709"/>
      <c r="D1024" s="709"/>
      <c r="E1024" s="709" t="s">
        <v>513</v>
      </c>
      <c r="F1024" s="709"/>
      <c r="G1024" s="709" t="s">
        <v>540</v>
      </c>
      <c r="H1024" s="709" t="s">
        <v>557</v>
      </c>
      <c r="I1024" s="709" t="s">
        <v>572</v>
      </c>
      <c r="J1024" s="725">
        <v>-44000</v>
      </c>
    </row>
    <row r="1025" spans="1:10" ht="13.5">
      <c r="A1025" s="709"/>
      <c r="B1025" s="710"/>
      <c r="C1025" s="709"/>
      <c r="D1025" s="709"/>
      <c r="E1025" s="709" t="s">
        <v>513</v>
      </c>
      <c r="F1025" s="709"/>
      <c r="G1025" s="709" t="s">
        <v>540</v>
      </c>
      <c r="H1025" s="709" t="s">
        <v>557</v>
      </c>
      <c r="I1025" s="709" t="s">
        <v>573</v>
      </c>
      <c r="J1025" s="725">
        <v>-400</v>
      </c>
    </row>
    <row r="1026" spans="1:10" ht="13.5">
      <c r="A1026" s="709"/>
      <c r="B1026" s="710"/>
      <c r="C1026" s="709"/>
      <c r="D1026" s="709"/>
      <c r="E1026" s="709" t="s">
        <v>517</v>
      </c>
      <c r="F1026" s="709"/>
      <c r="G1026" s="709" t="s">
        <v>540</v>
      </c>
      <c r="H1026" s="709" t="s">
        <v>557</v>
      </c>
      <c r="I1026" s="709" t="s">
        <v>789</v>
      </c>
      <c r="J1026" s="725">
        <v>24500</v>
      </c>
    </row>
    <row r="1027" spans="1:10" ht="13.5">
      <c r="A1027" s="709"/>
      <c r="B1027" s="710"/>
      <c r="C1027" s="709"/>
      <c r="D1027" s="709"/>
      <c r="E1027" s="709" t="s">
        <v>513</v>
      </c>
      <c r="F1027" s="709"/>
      <c r="G1027" s="709" t="s">
        <v>540</v>
      </c>
      <c r="H1027" s="709" t="s">
        <v>560</v>
      </c>
      <c r="I1027" s="709" t="s">
        <v>561</v>
      </c>
      <c r="J1027" s="725">
        <v>-6100</v>
      </c>
    </row>
    <row r="1028" spans="1:10" ht="13.5">
      <c r="A1028" s="709"/>
      <c r="B1028" s="710"/>
      <c r="C1028" s="709"/>
      <c r="D1028" s="709"/>
      <c r="E1028" s="709" t="s">
        <v>513</v>
      </c>
      <c r="F1028" s="709"/>
      <c r="G1028" s="709" t="s">
        <v>540</v>
      </c>
      <c r="H1028" s="709" t="s">
        <v>560</v>
      </c>
      <c r="I1028" s="709" t="s">
        <v>789</v>
      </c>
      <c r="J1028" s="725">
        <v>-25000</v>
      </c>
    </row>
    <row r="1029" spans="1:10" ht="13.5">
      <c r="A1029" s="709"/>
      <c r="B1029" s="710"/>
      <c r="C1029" s="709"/>
      <c r="D1029" s="709"/>
      <c r="E1029" s="709" t="s">
        <v>517</v>
      </c>
      <c r="F1029" s="709"/>
      <c r="G1029" s="709" t="s">
        <v>540</v>
      </c>
      <c r="H1029" s="709" t="s">
        <v>560</v>
      </c>
      <c r="I1029" s="709" t="s">
        <v>790</v>
      </c>
      <c r="J1029" s="725">
        <v>6703</v>
      </c>
    </row>
    <row r="1030" spans="1:10" ht="13.5">
      <c r="A1030" s="709"/>
      <c r="B1030" s="710"/>
      <c r="C1030" s="709"/>
      <c r="D1030" s="709"/>
      <c r="E1030" s="709" t="s">
        <v>513</v>
      </c>
      <c r="F1030" s="709"/>
      <c r="G1030" s="709" t="s">
        <v>540</v>
      </c>
      <c r="H1030" s="709" t="s">
        <v>560</v>
      </c>
      <c r="I1030" s="709" t="s">
        <v>791</v>
      </c>
      <c r="J1030" s="725">
        <v>-5400</v>
      </c>
    </row>
    <row r="1031" spans="1:10" ht="13.5">
      <c r="A1031" s="709"/>
      <c r="B1031" s="710"/>
      <c r="C1031" s="709"/>
      <c r="D1031" s="709"/>
      <c r="E1031" s="709" t="s">
        <v>513</v>
      </c>
      <c r="F1031" s="709"/>
      <c r="G1031" s="709" t="s">
        <v>540</v>
      </c>
      <c r="H1031" s="709" t="s">
        <v>560</v>
      </c>
      <c r="I1031" s="709" t="s">
        <v>724</v>
      </c>
      <c r="J1031" s="725">
        <v>-93259</v>
      </c>
    </row>
    <row r="1032" spans="1:10" ht="13.5">
      <c r="A1032" s="709"/>
      <c r="B1032" s="710"/>
      <c r="C1032" s="709"/>
      <c r="D1032" s="709"/>
      <c r="E1032" s="709" t="s">
        <v>517</v>
      </c>
      <c r="F1032" s="709"/>
      <c r="G1032" s="709" t="s">
        <v>540</v>
      </c>
      <c r="H1032" s="709" t="s">
        <v>560</v>
      </c>
      <c r="I1032" s="709" t="s">
        <v>792</v>
      </c>
      <c r="J1032" s="725">
        <v>240</v>
      </c>
    </row>
    <row r="1033" spans="1:10" s="549" customFormat="1" ht="13.5">
      <c r="A1033" s="715"/>
      <c r="B1033" s="728"/>
      <c r="C1033" s="715" t="s">
        <v>541</v>
      </c>
      <c r="D1033" s="715"/>
      <c r="E1033" s="715"/>
      <c r="F1033" s="715"/>
      <c r="G1033" s="715" t="s">
        <v>540</v>
      </c>
      <c r="H1033" s="715"/>
      <c r="I1033" s="715"/>
      <c r="J1033" s="732">
        <f>SUM(J1007:J1032)</f>
        <v>-334654</v>
      </c>
    </row>
    <row r="1034" spans="1:10" ht="13.5">
      <c r="A1034" s="716"/>
      <c r="B1034" s="714"/>
      <c r="C1034" s="716" t="s">
        <v>541</v>
      </c>
      <c r="D1034" s="716"/>
      <c r="E1034" s="716" t="s">
        <v>517</v>
      </c>
      <c r="F1034" s="716"/>
      <c r="G1034" s="716" t="s">
        <v>675</v>
      </c>
      <c r="H1034" s="716" t="s">
        <v>650</v>
      </c>
      <c r="I1034" s="716" t="s">
        <v>516</v>
      </c>
      <c r="J1034" s="731">
        <v>334654</v>
      </c>
    </row>
    <row r="1035" spans="1:10" s="549" customFormat="1" ht="13.5">
      <c r="A1035" s="715"/>
      <c r="B1035" s="728"/>
      <c r="C1035" s="715" t="s">
        <v>541</v>
      </c>
      <c r="D1035" s="715"/>
      <c r="E1035" s="715"/>
      <c r="F1035" s="715"/>
      <c r="G1035" s="715" t="s">
        <v>675</v>
      </c>
      <c r="H1035" s="715"/>
      <c r="I1035" s="715"/>
      <c r="J1035" s="732">
        <f>SUM(J1034)</f>
        <v>334654</v>
      </c>
    </row>
    <row r="1036" spans="1:10" ht="14.25" thickBot="1">
      <c r="A1036" s="734" t="s">
        <v>793</v>
      </c>
      <c r="B1036" s="735"/>
      <c r="C1036" s="736">
        <v>132</v>
      </c>
      <c r="D1036" s="737"/>
      <c r="E1036" s="737"/>
      <c r="F1036" s="737"/>
      <c r="G1036" s="737"/>
      <c r="H1036" s="737"/>
      <c r="I1036" s="737"/>
      <c r="J1036" s="738">
        <f>SUM(J1033+J1035)</f>
        <v>0</v>
      </c>
    </row>
    <row r="1037" spans="1:10" ht="13.5" thickTop="1">
      <c r="A1037" s="575"/>
      <c r="B1037" s="575"/>
      <c r="C1037" s="575"/>
      <c r="D1037" s="575"/>
      <c r="E1037" s="575"/>
      <c r="F1037" s="575"/>
      <c r="G1037" s="575"/>
      <c r="H1037" s="575"/>
      <c r="I1037" s="575"/>
      <c r="J1037" s="575"/>
    </row>
    <row r="1038" spans="1:10" ht="13.5">
      <c r="A1038" s="541">
        <v>589</v>
      </c>
      <c r="B1038" s="576">
        <v>41611</v>
      </c>
      <c r="C1038" s="541">
        <v>137</v>
      </c>
      <c r="D1038" s="541" t="s">
        <v>794</v>
      </c>
      <c r="E1038" s="541" t="s">
        <v>513</v>
      </c>
      <c r="F1038" s="543" t="s">
        <v>514</v>
      </c>
      <c r="G1038" s="541">
        <v>35</v>
      </c>
      <c r="H1038" s="541" t="s">
        <v>655</v>
      </c>
      <c r="I1038" s="541" t="s">
        <v>516</v>
      </c>
      <c r="J1038" s="739">
        <v>-500</v>
      </c>
    </row>
    <row r="1039" spans="1:10" ht="13.5">
      <c r="A1039" s="541"/>
      <c r="B1039" s="576"/>
      <c r="C1039" s="541">
        <v>137</v>
      </c>
      <c r="D1039" s="541"/>
      <c r="E1039" s="541" t="s">
        <v>517</v>
      </c>
      <c r="F1039" s="654" t="s">
        <v>518</v>
      </c>
      <c r="G1039" s="541">
        <v>35</v>
      </c>
      <c r="H1039" s="541" t="s">
        <v>685</v>
      </c>
      <c r="I1039" s="541" t="s">
        <v>516</v>
      </c>
      <c r="J1039" s="739">
        <v>500</v>
      </c>
    </row>
    <row r="1040" spans="1:10" s="549" customFormat="1" ht="13.5">
      <c r="A1040" s="554"/>
      <c r="B1040" s="554"/>
      <c r="C1040" s="554">
        <v>137</v>
      </c>
      <c r="D1040" s="554"/>
      <c r="E1040" s="554"/>
      <c r="F1040" s="554"/>
      <c r="G1040" s="554">
        <v>35</v>
      </c>
      <c r="H1040" s="554"/>
      <c r="I1040" s="554"/>
      <c r="J1040" s="740">
        <v>0</v>
      </c>
    </row>
    <row r="1041" spans="1:10" ht="13.5">
      <c r="A1041" s="541"/>
      <c r="B1041" s="576"/>
      <c r="C1041" s="541">
        <v>136</v>
      </c>
      <c r="D1041" s="541"/>
      <c r="E1041" s="541" t="s">
        <v>513</v>
      </c>
      <c r="F1041" s="541"/>
      <c r="G1041" s="541">
        <v>35</v>
      </c>
      <c r="H1041" s="541" t="s">
        <v>655</v>
      </c>
      <c r="I1041" s="541" t="s">
        <v>516</v>
      </c>
      <c r="J1041" s="739">
        <v>-150</v>
      </c>
    </row>
    <row r="1042" spans="1:10" ht="13.5">
      <c r="A1042" s="541"/>
      <c r="B1042" s="576"/>
      <c r="C1042" s="541">
        <v>136</v>
      </c>
      <c r="D1042" s="541"/>
      <c r="E1042" s="541" t="s">
        <v>517</v>
      </c>
      <c r="F1042" s="541"/>
      <c r="G1042" s="541">
        <v>35</v>
      </c>
      <c r="H1042" s="541" t="s">
        <v>795</v>
      </c>
      <c r="I1042" s="541" t="s">
        <v>516</v>
      </c>
      <c r="J1042" s="739">
        <v>150</v>
      </c>
    </row>
    <row r="1043" spans="1:10" s="549" customFormat="1" ht="13.5">
      <c r="A1043" s="554"/>
      <c r="B1043" s="554"/>
      <c r="C1043" s="554">
        <v>136</v>
      </c>
      <c r="D1043" s="554"/>
      <c r="E1043" s="554"/>
      <c r="F1043" s="554"/>
      <c r="G1043" s="554">
        <v>35</v>
      </c>
      <c r="H1043" s="554"/>
      <c r="I1043" s="554"/>
      <c r="J1043" s="740">
        <v>0</v>
      </c>
    </row>
    <row r="1044" spans="1:10" ht="13.5">
      <c r="A1044" s="541"/>
      <c r="B1044" s="576"/>
      <c r="C1044" s="541">
        <v>132</v>
      </c>
      <c r="D1044" s="541"/>
      <c r="E1044" s="541" t="s">
        <v>513</v>
      </c>
      <c r="F1044" s="541"/>
      <c r="G1044" s="541">
        <v>35</v>
      </c>
      <c r="H1044" s="541" t="s">
        <v>725</v>
      </c>
      <c r="I1044" s="541" t="s">
        <v>516</v>
      </c>
      <c r="J1044" s="739">
        <v>-3400</v>
      </c>
    </row>
    <row r="1045" spans="1:10" ht="13.5">
      <c r="A1045" s="541"/>
      <c r="B1045" s="576"/>
      <c r="C1045" s="541">
        <v>132</v>
      </c>
      <c r="D1045" s="541"/>
      <c r="E1045" s="541" t="s">
        <v>517</v>
      </c>
      <c r="F1045" s="541"/>
      <c r="G1045" s="541">
        <v>35</v>
      </c>
      <c r="H1045" s="541" t="s">
        <v>527</v>
      </c>
      <c r="I1045" s="541" t="s">
        <v>516</v>
      </c>
      <c r="J1045" s="739">
        <v>3000</v>
      </c>
    </row>
    <row r="1046" spans="1:10" ht="13.5">
      <c r="A1046" s="541"/>
      <c r="B1046" s="576"/>
      <c r="C1046" s="541">
        <v>132</v>
      </c>
      <c r="D1046" s="541"/>
      <c r="E1046" s="541" t="s">
        <v>517</v>
      </c>
      <c r="F1046" s="541"/>
      <c r="G1046" s="541">
        <v>35</v>
      </c>
      <c r="H1046" s="541" t="s">
        <v>585</v>
      </c>
      <c r="I1046" s="541" t="s">
        <v>516</v>
      </c>
      <c r="J1046" s="739">
        <v>400</v>
      </c>
    </row>
    <row r="1047" spans="1:10" ht="13.5">
      <c r="A1047" s="541"/>
      <c r="B1047" s="576"/>
      <c r="C1047" s="541">
        <v>132</v>
      </c>
      <c r="D1047" s="541"/>
      <c r="E1047" s="541" t="s">
        <v>513</v>
      </c>
      <c r="F1047" s="541"/>
      <c r="G1047" s="541">
        <v>35</v>
      </c>
      <c r="H1047" s="541" t="s">
        <v>656</v>
      </c>
      <c r="I1047" s="541" t="s">
        <v>516</v>
      </c>
      <c r="J1047" s="739">
        <v>-800</v>
      </c>
    </row>
    <row r="1048" spans="1:10" ht="13.5">
      <c r="A1048" s="541"/>
      <c r="B1048" s="576"/>
      <c r="C1048" s="541">
        <v>132</v>
      </c>
      <c r="D1048" s="541"/>
      <c r="E1048" s="541" t="s">
        <v>517</v>
      </c>
      <c r="F1048" s="541"/>
      <c r="G1048" s="541">
        <v>35</v>
      </c>
      <c r="H1048" s="541" t="s">
        <v>796</v>
      </c>
      <c r="I1048" s="541" t="s">
        <v>516</v>
      </c>
      <c r="J1048" s="739">
        <v>300</v>
      </c>
    </row>
    <row r="1049" spans="1:10" ht="13.5">
      <c r="A1049" s="541"/>
      <c r="B1049" s="576"/>
      <c r="C1049" s="541">
        <v>132</v>
      </c>
      <c r="D1049" s="541"/>
      <c r="E1049" s="541" t="s">
        <v>517</v>
      </c>
      <c r="F1049" s="541"/>
      <c r="G1049" s="541">
        <v>35</v>
      </c>
      <c r="H1049" s="541" t="s">
        <v>797</v>
      </c>
      <c r="I1049" s="541" t="s">
        <v>516</v>
      </c>
      <c r="J1049" s="739">
        <v>500</v>
      </c>
    </row>
    <row r="1050" spans="1:10" s="549" customFormat="1" ht="13.5">
      <c r="A1050" s="741" t="s">
        <v>798</v>
      </c>
      <c r="B1050" s="547"/>
      <c r="C1050" s="547">
        <v>132</v>
      </c>
      <c r="D1050" s="547"/>
      <c r="E1050" s="547"/>
      <c r="F1050" s="547"/>
      <c r="G1050" s="547">
        <v>35</v>
      </c>
      <c r="H1050" s="547"/>
      <c r="I1050" s="547"/>
      <c r="J1050" s="742">
        <v>0</v>
      </c>
    </row>
    <row r="1051" spans="1:10" ht="12.75">
      <c r="A1051" s="582"/>
      <c r="B1051" s="582"/>
      <c r="C1051" s="582"/>
      <c r="D1051" s="582"/>
      <c r="E1051" s="582"/>
      <c r="F1051" s="582"/>
      <c r="G1051" s="582"/>
      <c r="H1051" s="582"/>
      <c r="I1051" s="582"/>
      <c r="J1051" s="582"/>
    </row>
    <row r="1052" spans="1:10" ht="13.5">
      <c r="A1052" s="541">
        <v>619</v>
      </c>
      <c r="B1052" s="576">
        <v>41619</v>
      </c>
      <c r="C1052" s="541">
        <v>137</v>
      </c>
      <c r="D1052" s="541" t="s">
        <v>799</v>
      </c>
      <c r="E1052" s="541" t="s">
        <v>513</v>
      </c>
      <c r="F1052" s="543" t="s">
        <v>514</v>
      </c>
      <c r="G1052" s="541">
        <v>35</v>
      </c>
      <c r="H1052" s="541" t="s">
        <v>655</v>
      </c>
      <c r="I1052" s="541" t="s">
        <v>516</v>
      </c>
      <c r="J1052" s="739">
        <v>-300</v>
      </c>
    </row>
    <row r="1053" spans="1:10" ht="13.5">
      <c r="A1053" s="541"/>
      <c r="B1053" s="576"/>
      <c r="C1053" s="541">
        <v>137</v>
      </c>
      <c r="D1053" s="541"/>
      <c r="E1053" s="541" t="s">
        <v>517</v>
      </c>
      <c r="F1053" s="654" t="s">
        <v>518</v>
      </c>
      <c r="G1053" s="541">
        <v>35</v>
      </c>
      <c r="H1053" s="541" t="s">
        <v>795</v>
      </c>
      <c r="I1053" s="541" t="s">
        <v>516</v>
      </c>
      <c r="J1053" s="739">
        <v>300</v>
      </c>
    </row>
    <row r="1054" spans="1:10" s="549" customFormat="1" ht="13.5">
      <c r="A1054" s="554"/>
      <c r="B1054" s="554"/>
      <c r="C1054" s="554">
        <v>137</v>
      </c>
      <c r="D1054" s="554"/>
      <c r="E1054" s="554"/>
      <c r="F1054" s="554"/>
      <c r="G1054" s="554">
        <v>35</v>
      </c>
      <c r="H1054" s="554"/>
      <c r="I1054" s="554"/>
      <c r="J1054" s="740">
        <v>0</v>
      </c>
    </row>
    <row r="1055" spans="1:10" ht="13.5">
      <c r="A1055" s="541"/>
      <c r="B1055" s="576"/>
      <c r="C1055" s="541">
        <v>136</v>
      </c>
      <c r="D1055" s="541"/>
      <c r="E1055" s="541" t="s">
        <v>513</v>
      </c>
      <c r="F1055" s="541"/>
      <c r="G1055" s="541">
        <v>35</v>
      </c>
      <c r="H1055" s="541" t="s">
        <v>655</v>
      </c>
      <c r="I1055" s="541" t="s">
        <v>516</v>
      </c>
      <c r="J1055" s="739">
        <v>-130</v>
      </c>
    </row>
    <row r="1056" spans="1:10" ht="13.5">
      <c r="A1056" s="541"/>
      <c r="B1056" s="576"/>
      <c r="C1056" s="541">
        <v>136</v>
      </c>
      <c r="D1056" s="541"/>
      <c r="E1056" s="541" t="s">
        <v>517</v>
      </c>
      <c r="F1056" s="541"/>
      <c r="G1056" s="541">
        <v>35</v>
      </c>
      <c r="H1056" s="541" t="s">
        <v>795</v>
      </c>
      <c r="I1056" s="541" t="s">
        <v>516</v>
      </c>
      <c r="J1056" s="739">
        <v>130</v>
      </c>
    </row>
    <row r="1057" spans="1:10" s="549" customFormat="1" ht="13.5">
      <c r="A1057" s="554"/>
      <c r="B1057" s="554"/>
      <c r="C1057" s="554">
        <v>136</v>
      </c>
      <c r="D1057" s="554"/>
      <c r="E1057" s="554"/>
      <c r="F1057" s="554"/>
      <c r="G1057" s="554">
        <v>35</v>
      </c>
      <c r="H1057" s="554"/>
      <c r="I1057" s="554"/>
      <c r="J1057" s="740">
        <v>0</v>
      </c>
    </row>
    <row r="1058" spans="1:10" ht="13.5">
      <c r="A1058" s="541"/>
      <c r="B1058" s="576"/>
      <c r="C1058" s="541">
        <v>134</v>
      </c>
      <c r="D1058" s="541"/>
      <c r="E1058" s="541" t="s">
        <v>517</v>
      </c>
      <c r="F1058" s="541"/>
      <c r="G1058" s="541">
        <v>35</v>
      </c>
      <c r="H1058" s="541" t="s">
        <v>656</v>
      </c>
      <c r="I1058" s="541" t="s">
        <v>516</v>
      </c>
      <c r="J1058" s="739">
        <v>5500</v>
      </c>
    </row>
    <row r="1059" spans="1:10" s="549" customFormat="1" ht="13.5">
      <c r="A1059" s="554"/>
      <c r="B1059" s="554"/>
      <c r="C1059" s="554">
        <v>134</v>
      </c>
      <c r="D1059" s="554"/>
      <c r="E1059" s="554"/>
      <c r="F1059" s="554"/>
      <c r="G1059" s="554">
        <v>35</v>
      </c>
      <c r="H1059" s="554"/>
      <c r="I1059" s="554"/>
      <c r="J1059" s="740">
        <v>5500</v>
      </c>
    </row>
    <row r="1060" spans="1:10" ht="13.5">
      <c r="A1060" s="541"/>
      <c r="B1060" s="576"/>
      <c r="C1060" s="541">
        <v>132</v>
      </c>
      <c r="D1060" s="541"/>
      <c r="E1060" s="541" t="s">
        <v>513</v>
      </c>
      <c r="F1060" s="541"/>
      <c r="G1060" s="541">
        <v>35</v>
      </c>
      <c r="H1060" s="541" t="s">
        <v>700</v>
      </c>
      <c r="I1060" s="541" t="s">
        <v>516</v>
      </c>
      <c r="J1060" s="739">
        <v>-18000</v>
      </c>
    </row>
    <row r="1061" spans="1:10" ht="13.5">
      <c r="A1061" s="541"/>
      <c r="B1061" s="576"/>
      <c r="C1061" s="541">
        <v>132</v>
      </c>
      <c r="D1061" s="541"/>
      <c r="E1061" s="541" t="s">
        <v>517</v>
      </c>
      <c r="F1061" s="541"/>
      <c r="G1061" s="541">
        <v>35</v>
      </c>
      <c r="H1061" s="541" t="s">
        <v>584</v>
      </c>
      <c r="I1061" s="541" t="s">
        <v>516</v>
      </c>
      <c r="J1061" s="739">
        <v>18000</v>
      </c>
    </row>
    <row r="1062" spans="1:10" ht="13.5">
      <c r="A1062" s="541"/>
      <c r="B1062" s="576"/>
      <c r="C1062" s="541">
        <v>132</v>
      </c>
      <c r="D1062" s="541"/>
      <c r="E1062" s="541" t="s">
        <v>513</v>
      </c>
      <c r="F1062" s="541"/>
      <c r="G1062" s="541">
        <v>35</v>
      </c>
      <c r="H1062" s="541" t="s">
        <v>656</v>
      </c>
      <c r="I1062" s="541" t="s">
        <v>516</v>
      </c>
      <c r="J1062" s="739">
        <v>-14000</v>
      </c>
    </row>
    <row r="1063" spans="1:10" ht="13.5">
      <c r="A1063" s="541"/>
      <c r="B1063" s="576"/>
      <c r="C1063" s="541">
        <v>132</v>
      </c>
      <c r="D1063" s="541"/>
      <c r="E1063" s="541" t="s">
        <v>517</v>
      </c>
      <c r="F1063" s="541"/>
      <c r="G1063" s="541">
        <v>35</v>
      </c>
      <c r="H1063" s="541" t="s">
        <v>663</v>
      </c>
      <c r="I1063" s="541" t="s">
        <v>516</v>
      </c>
      <c r="J1063" s="739">
        <v>8500</v>
      </c>
    </row>
    <row r="1064" spans="1:10" s="549" customFormat="1" ht="13.5">
      <c r="A1064" s="741" t="s">
        <v>800</v>
      </c>
      <c r="B1064" s="547"/>
      <c r="C1064" s="547">
        <v>132</v>
      </c>
      <c r="D1064" s="547"/>
      <c r="E1064" s="547"/>
      <c r="F1064" s="547"/>
      <c r="G1064" s="547">
        <v>35</v>
      </c>
      <c r="H1064" s="547"/>
      <c r="I1064" s="547"/>
      <c r="J1064" s="742">
        <v>-5500</v>
      </c>
    </row>
    <row r="1065" spans="1:10" ht="12.75">
      <c r="A1065" s="582"/>
      <c r="B1065" s="582"/>
      <c r="C1065" s="582"/>
      <c r="D1065" s="582"/>
      <c r="E1065" s="582"/>
      <c r="F1065" s="582"/>
      <c r="G1065" s="582"/>
      <c r="H1065" s="582"/>
      <c r="I1065" s="582"/>
      <c r="J1065" s="743"/>
    </row>
    <row r="1066" spans="1:10" ht="13.5">
      <c r="A1066" s="541">
        <v>622</v>
      </c>
      <c r="B1066" s="576">
        <v>41620</v>
      </c>
      <c r="C1066" s="541">
        <v>132</v>
      </c>
      <c r="D1066" s="541" t="s">
        <v>801</v>
      </c>
      <c r="E1066" s="541" t="s">
        <v>517</v>
      </c>
      <c r="F1066" s="543" t="s">
        <v>514</v>
      </c>
      <c r="G1066" s="541">
        <v>190</v>
      </c>
      <c r="H1066" s="541" t="s">
        <v>620</v>
      </c>
      <c r="I1066" s="541" t="s">
        <v>516</v>
      </c>
      <c r="J1066" s="739">
        <v>3500</v>
      </c>
    </row>
    <row r="1067" spans="1:10" ht="13.5">
      <c r="A1067" s="541"/>
      <c r="B1067" s="576"/>
      <c r="C1067" s="541"/>
      <c r="D1067" s="541"/>
      <c r="E1067" s="541" t="s">
        <v>513</v>
      </c>
      <c r="F1067" s="654" t="s">
        <v>518</v>
      </c>
      <c r="G1067" s="541">
        <v>190</v>
      </c>
      <c r="H1067" s="541" t="s">
        <v>524</v>
      </c>
      <c r="I1067" s="541" t="s">
        <v>516</v>
      </c>
      <c r="J1067" s="739">
        <v>-1000</v>
      </c>
    </row>
    <row r="1068" spans="1:10" ht="13.5">
      <c r="A1068" s="541"/>
      <c r="B1068" s="576"/>
      <c r="C1068" s="541"/>
      <c r="D1068" s="541"/>
      <c r="E1068" s="541" t="s">
        <v>513</v>
      </c>
      <c r="F1068" s="541"/>
      <c r="G1068" s="541">
        <v>190</v>
      </c>
      <c r="H1068" s="541" t="s">
        <v>525</v>
      </c>
      <c r="I1068" s="541" t="s">
        <v>516</v>
      </c>
      <c r="J1068" s="739">
        <v>-2500</v>
      </c>
    </row>
    <row r="1069" spans="1:10" s="549" customFormat="1" ht="13.5">
      <c r="A1069" s="554"/>
      <c r="B1069" s="554"/>
      <c r="C1069" s="554"/>
      <c r="D1069" s="554"/>
      <c r="E1069" s="554"/>
      <c r="F1069" s="554"/>
      <c r="G1069" s="554">
        <v>190</v>
      </c>
      <c r="H1069" s="554"/>
      <c r="I1069" s="554"/>
      <c r="J1069" s="740">
        <v>0</v>
      </c>
    </row>
    <row r="1070" spans="1:10" ht="13.5">
      <c r="A1070" s="541"/>
      <c r="B1070" s="576"/>
      <c r="C1070" s="541"/>
      <c r="D1070" s="541"/>
      <c r="E1070" s="541" t="s">
        <v>513</v>
      </c>
      <c r="F1070" s="541"/>
      <c r="G1070" s="541">
        <v>110</v>
      </c>
      <c r="H1070" s="541" t="s">
        <v>707</v>
      </c>
      <c r="I1070" s="541" t="s">
        <v>516</v>
      </c>
      <c r="J1070" s="739">
        <v>-2000</v>
      </c>
    </row>
    <row r="1071" spans="1:10" ht="13.5">
      <c r="A1071" s="541"/>
      <c r="B1071" s="576"/>
      <c r="C1071" s="541"/>
      <c r="D1071" s="541"/>
      <c r="E1071" s="541" t="s">
        <v>517</v>
      </c>
      <c r="F1071" s="541"/>
      <c r="G1071" s="541">
        <v>110</v>
      </c>
      <c r="H1071" s="541" t="s">
        <v>525</v>
      </c>
      <c r="I1071" s="541" t="s">
        <v>516</v>
      </c>
      <c r="J1071" s="739">
        <v>2000</v>
      </c>
    </row>
    <row r="1072" spans="1:10" ht="13.5">
      <c r="A1072" s="741" t="s">
        <v>802</v>
      </c>
      <c r="B1072" s="744"/>
      <c r="C1072" s="547">
        <v>132</v>
      </c>
      <c r="D1072" s="547"/>
      <c r="E1072" s="547"/>
      <c r="F1072" s="547"/>
      <c r="G1072" s="547">
        <v>110</v>
      </c>
      <c r="H1072" s="547"/>
      <c r="I1072" s="547"/>
      <c r="J1072" s="742">
        <v>0</v>
      </c>
    </row>
    <row r="1073" spans="1:10" ht="13.5">
      <c r="A1073" s="560"/>
      <c r="B1073" s="560"/>
      <c r="C1073" s="560"/>
      <c r="D1073" s="560"/>
      <c r="E1073" s="560"/>
      <c r="F1073" s="560"/>
      <c r="G1073" s="560"/>
      <c r="H1073" s="560"/>
      <c r="I1073" s="560"/>
      <c r="J1073" s="745"/>
    </row>
    <row r="1074" spans="1:10" ht="13.5">
      <c r="A1074" s="541">
        <v>666</v>
      </c>
      <c r="B1074" s="576">
        <v>41624</v>
      </c>
      <c r="C1074" s="541">
        <v>132</v>
      </c>
      <c r="D1074" s="541" t="s">
        <v>803</v>
      </c>
      <c r="E1074" s="541" t="s">
        <v>517</v>
      </c>
      <c r="F1074" s="543" t="s">
        <v>514</v>
      </c>
      <c r="G1074" s="541">
        <v>43</v>
      </c>
      <c r="H1074" s="541" t="s">
        <v>642</v>
      </c>
      <c r="I1074" s="541" t="s">
        <v>643</v>
      </c>
      <c r="J1074" s="739">
        <v>1165346</v>
      </c>
    </row>
    <row r="1075" spans="1:10" ht="13.5">
      <c r="A1075" s="541"/>
      <c r="B1075" s="541"/>
      <c r="C1075" s="554">
        <v>132</v>
      </c>
      <c r="D1075" s="554"/>
      <c r="E1075" s="554"/>
      <c r="F1075" s="654" t="s">
        <v>518</v>
      </c>
      <c r="G1075" s="554">
        <v>43</v>
      </c>
      <c r="H1075" s="554"/>
      <c r="I1075" s="554"/>
      <c r="J1075" s="740">
        <v>1165346</v>
      </c>
    </row>
    <row r="1076" spans="1:10" ht="13.5">
      <c r="A1076" s="541"/>
      <c r="B1076" s="576"/>
      <c r="C1076" s="541">
        <v>133</v>
      </c>
      <c r="D1076" s="541"/>
      <c r="E1076" s="541" t="s">
        <v>517</v>
      </c>
      <c r="F1076" s="541"/>
      <c r="G1076" s="541">
        <v>31</v>
      </c>
      <c r="H1076" s="541" t="s">
        <v>804</v>
      </c>
      <c r="I1076" s="541" t="s">
        <v>516</v>
      </c>
      <c r="J1076" s="739">
        <v>2000</v>
      </c>
    </row>
    <row r="1077" spans="1:10" ht="13.5">
      <c r="A1077" s="541"/>
      <c r="B1077" s="541"/>
      <c r="C1077" s="554">
        <v>133</v>
      </c>
      <c r="D1077" s="554"/>
      <c r="E1077" s="554"/>
      <c r="F1077" s="554"/>
      <c r="G1077" s="554">
        <v>31</v>
      </c>
      <c r="H1077" s="554"/>
      <c r="I1077" s="554"/>
      <c r="J1077" s="740">
        <v>2000</v>
      </c>
    </row>
    <row r="1078" spans="1:10" ht="13.5">
      <c r="A1078" s="541"/>
      <c r="B1078" s="576"/>
      <c r="C1078" s="541">
        <v>132</v>
      </c>
      <c r="D1078" s="541"/>
      <c r="E1078" s="541" t="s">
        <v>513</v>
      </c>
      <c r="F1078" s="541"/>
      <c r="G1078" s="541">
        <v>31</v>
      </c>
      <c r="H1078" s="541" t="s">
        <v>706</v>
      </c>
      <c r="I1078" s="541" t="s">
        <v>516</v>
      </c>
      <c r="J1078" s="739">
        <v>-10000</v>
      </c>
    </row>
    <row r="1079" spans="1:10" ht="13.5">
      <c r="A1079" s="541"/>
      <c r="B1079" s="576"/>
      <c r="C1079" s="541"/>
      <c r="D1079" s="541"/>
      <c r="E1079" s="541" t="s">
        <v>513</v>
      </c>
      <c r="F1079" s="541"/>
      <c r="G1079" s="541">
        <v>31</v>
      </c>
      <c r="H1079" s="541" t="s">
        <v>805</v>
      </c>
      <c r="I1079" s="541" t="s">
        <v>516</v>
      </c>
      <c r="J1079" s="739">
        <v>-6500</v>
      </c>
    </row>
    <row r="1080" spans="1:10" ht="13.5">
      <c r="A1080" s="541"/>
      <c r="B1080" s="576"/>
      <c r="C1080" s="541"/>
      <c r="D1080" s="541"/>
      <c r="E1080" s="541" t="s">
        <v>513</v>
      </c>
      <c r="F1080" s="541"/>
      <c r="G1080" s="541">
        <v>31</v>
      </c>
      <c r="H1080" s="541" t="s">
        <v>607</v>
      </c>
      <c r="I1080" s="541" t="s">
        <v>516</v>
      </c>
      <c r="J1080" s="739">
        <v>-745346</v>
      </c>
    </row>
    <row r="1081" spans="1:10" ht="13.5">
      <c r="A1081" s="541"/>
      <c r="B1081" s="576"/>
      <c r="C1081" s="541"/>
      <c r="D1081" s="541"/>
      <c r="E1081" s="541" t="s">
        <v>513</v>
      </c>
      <c r="F1081" s="541"/>
      <c r="G1081" s="541">
        <v>31</v>
      </c>
      <c r="H1081" s="541" t="s">
        <v>806</v>
      </c>
      <c r="I1081" s="541" t="s">
        <v>516</v>
      </c>
      <c r="J1081" s="739">
        <v>-30000</v>
      </c>
    </row>
    <row r="1082" spans="1:10" ht="13.5">
      <c r="A1082" s="541"/>
      <c r="B1082" s="576"/>
      <c r="C1082" s="541"/>
      <c r="D1082" s="541"/>
      <c r="E1082" s="541" t="s">
        <v>513</v>
      </c>
      <c r="F1082" s="541"/>
      <c r="G1082" s="541">
        <v>31</v>
      </c>
      <c r="H1082" s="541" t="s">
        <v>515</v>
      </c>
      <c r="I1082" s="541" t="s">
        <v>516</v>
      </c>
      <c r="J1082" s="739">
        <v>-18100</v>
      </c>
    </row>
    <row r="1083" spans="1:10" ht="13.5">
      <c r="A1083" s="541"/>
      <c r="B1083" s="576"/>
      <c r="C1083" s="541"/>
      <c r="D1083" s="541"/>
      <c r="E1083" s="541" t="s">
        <v>517</v>
      </c>
      <c r="F1083" s="541"/>
      <c r="G1083" s="541">
        <v>31</v>
      </c>
      <c r="H1083" s="541" t="s">
        <v>735</v>
      </c>
      <c r="I1083" s="541" t="s">
        <v>516</v>
      </c>
      <c r="J1083" s="739">
        <v>100</v>
      </c>
    </row>
    <row r="1084" spans="1:10" ht="13.5">
      <c r="A1084" s="541"/>
      <c r="B1084" s="576"/>
      <c r="C1084" s="541"/>
      <c r="D1084" s="541"/>
      <c r="E1084" s="541" t="s">
        <v>517</v>
      </c>
      <c r="F1084" s="541"/>
      <c r="G1084" s="541">
        <v>31</v>
      </c>
      <c r="H1084" s="541" t="s">
        <v>696</v>
      </c>
      <c r="I1084" s="541" t="s">
        <v>516</v>
      </c>
      <c r="J1084" s="739">
        <v>2500</v>
      </c>
    </row>
    <row r="1085" spans="1:10" ht="13.5">
      <c r="A1085" s="541"/>
      <c r="B1085" s="576"/>
      <c r="C1085" s="541"/>
      <c r="D1085" s="541"/>
      <c r="E1085" s="541" t="s">
        <v>513</v>
      </c>
      <c r="F1085" s="541"/>
      <c r="G1085" s="541">
        <v>31</v>
      </c>
      <c r="H1085" s="541" t="s">
        <v>693</v>
      </c>
      <c r="I1085" s="541" t="s">
        <v>516</v>
      </c>
      <c r="J1085" s="739">
        <v>-120000</v>
      </c>
    </row>
    <row r="1086" spans="1:10" ht="13.5">
      <c r="A1086" s="541"/>
      <c r="B1086" s="576"/>
      <c r="C1086" s="541"/>
      <c r="D1086" s="541"/>
      <c r="E1086" s="541" t="s">
        <v>513</v>
      </c>
      <c r="F1086" s="541"/>
      <c r="G1086" s="541">
        <v>31</v>
      </c>
      <c r="H1086" s="541" t="s">
        <v>707</v>
      </c>
      <c r="I1086" s="541" t="s">
        <v>516</v>
      </c>
      <c r="J1086" s="739">
        <v>-42000</v>
      </c>
    </row>
    <row r="1087" spans="1:10" ht="13.5">
      <c r="A1087" s="541"/>
      <c r="B1087" s="576"/>
      <c r="C1087" s="541"/>
      <c r="D1087" s="541"/>
      <c r="E1087" s="541" t="s">
        <v>513</v>
      </c>
      <c r="F1087" s="541"/>
      <c r="G1087" s="541">
        <v>31</v>
      </c>
      <c r="H1087" s="541" t="s">
        <v>807</v>
      </c>
      <c r="I1087" s="541" t="s">
        <v>516</v>
      </c>
      <c r="J1087" s="739">
        <v>-10000</v>
      </c>
    </row>
    <row r="1088" spans="1:10" ht="13.5">
      <c r="A1088" s="541"/>
      <c r="B1088" s="576"/>
      <c r="C1088" s="541"/>
      <c r="D1088" s="541"/>
      <c r="E1088" s="541" t="s">
        <v>517</v>
      </c>
      <c r="F1088" s="541"/>
      <c r="G1088" s="541">
        <v>31</v>
      </c>
      <c r="H1088" s="541" t="s">
        <v>808</v>
      </c>
      <c r="I1088" s="541" t="s">
        <v>516</v>
      </c>
      <c r="J1088" s="739">
        <v>2000</v>
      </c>
    </row>
    <row r="1089" spans="1:10" ht="13.5">
      <c r="A1089" s="541"/>
      <c r="B1089" s="576"/>
      <c r="C1089" s="541"/>
      <c r="D1089" s="541"/>
      <c r="E1089" s="541" t="s">
        <v>513</v>
      </c>
      <c r="F1089" s="541"/>
      <c r="G1089" s="541">
        <v>31</v>
      </c>
      <c r="H1089" s="541" t="s">
        <v>654</v>
      </c>
      <c r="I1089" s="541" t="s">
        <v>516</v>
      </c>
      <c r="J1089" s="739">
        <v>-190000</v>
      </c>
    </row>
    <row r="1090" spans="1:10" ht="13.5">
      <c r="A1090" s="741" t="s">
        <v>809</v>
      </c>
      <c r="B1090" s="744"/>
      <c r="C1090" s="547">
        <v>132</v>
      </c>
      <c r="D1090" s="547"/>
      <c r="E1090" s="547"/>
      <c r="F1090" s="547"/>
      <c r="G1090" s="547">
        <v>31</v>
      </c>
      <c r="H1090" s="547"/>
      <c r="I1090" s="547"/>
      <c r="J1090" s="742">
        <v>-1167346</v>
      </c>
    </row>
    <row r="1091" spans="1:10" ht="12.75">
      <c r="A1091" s="582"/>
      <c r="B1091" s="582"/>
      <c r="C1091" s="582"/>
      <c r="D1091" s="582"/>
      <c r="E1091" s="582"/>
      <c r="F1091" s="582"/>
      <c r="G1091" s="582"/>
      <c r="H1091" s="582"/>
      <c r="I1091" s="582"/>
      <c r="J1091" s="582"/>
    </row>
    <row r="1092" spans="1:10" ht="13.5">
      <c r="A1092" s="541">
        <v>693</v>
      </c>
      <c r="B1092" s="576">
        <v>41625</v>
      </c>
      <c r="C1092" s="541">
        <v>132</v>
      </c>
      <c r="D1092" s="541" t="s">
        <v>810</v>
      </c>
      <c r="E1092" s="541" t="s">
        <v>517</v>
      </c>
      <c r="F1092" s="543" t="s">
        <v>514</v>
      </c>
      <c r="G1092" s="541">
        <v>100</v>
      </c>
      <c r="H1092" s="541" t="s">
        <v>656</v>
      </c>
      <c r="I1092" s="541" t="s">
        <v>516</v>
      </c>
      <c r="J1092" s="739">
        <v>418</v>
      </c>
    </row>
    <row r="1093" spans="1:10" ht="13.5">
      <c r="A1093" s="541"/>
      <c r="B1093" s="576"/>
      <c r="C1093" s="541"/>
      <c r="D1093" s="541"/>
      <c r="E1093" s="541" t="s">
        <v>517</v>
      </c>
      <c r="F1093" s="654" t="s">
        <v>518</v>
      </c>
      <c r="G1093" s="541">
        <v>100</v>
      </c>
      <c r="H1093" s="541" t="s">
        <v>694</v>
      </c>
      <c r="I1093" s="541" t="s">
        <v>516</v>
      </c>
      <c r="J1093" s="739">
        <v>1100</v>
      </c>
    </row>
    <row r="1094" spans="1:10" ht="13.5">
      <c r="A1094" s="541"/>
      <c r="B1094" s="576"/>
      <c r="C1094" s="541"/>
      <c r="D1094" s="541"/>
      <c r="E1094" s="541" t="s">
        <v>513</v>
      </c>
      <c r="F1094" s="541"/>
      <c r="G1094" s="541">
        <v>100</v>
      </c>
      <c r="H1094" s="541" t="s">
        <v>524</v>
      </c>
      <c r="I1094" s="541" t="s">
        <v>516</v>
      </c>
      <c r="J1094" s="739">
        <v>-1260</v>
      </c>
    </row>
    <row r="1095" spans="1:10" ht="13.5">
      <c r="A1095" s="541"/>
      <c r="B1095" s="576"/>
      <c r="C1095" s="541"/>
      <c r="D1095" s="541"/>
      <c r="E1095" s="541" t="s">
        <v>513</v>
      </c>
      <c r="F1095" s="541"/>
      <c r="G1095" s="541">
        <v>100</v>
      </c>
      <c r="H1095" s="541" t="s">
        <v>525</v>
      </c>
      <c r="I1095" s="541" t="s">
        <v>516</v>
      </c>
      <c r="J1095" s="739">
        <v>-258</v>
      </c>
    </row>
    <row r="1096" spans="1:10" ht="13.5">
      <c r="A1096" s="741" t="s">
        <v>811</v>
      </c>
      <c r="B1096" s="744"/>
      <c r="C1096" s="547">
        <v>132</v>
      </c>
      <c r="D1096" s="547"/>
      <c r="E1096" s="547"/>
      <c r="F1096" s="547"/>
      <c r="G1096" s="547">
        <v>100</v>
      </c>
      <c r="H1096" s="547"/>
      <c r="I1096" s="547"/>
      <c r="J1096" s="742">
        <v>0</v>
      </c>
    </row>
    <row r="1097" spans="1:10" ht="12.75">
      <c r="A1097" s="582"/>
      <c r="B1097" s="582"/>
      <c r="C1097" s="582"/>
      <c r="D1097" s="582"/>
      <c r="E1097" s="582"/>
      <c r="F1097" s="582"/>
      <c r="G1097" s="582"/>
      <c r="H1097" s="582"/>
      <c r="I1097" s="582"/>
      <c r="J1097" s="582"/>
    </row>
    <row r="1098" spans="1:10" ht="13.5">
      <c r="A1098" s="541">
        <v>721</v>
      </c>
      <c r="B1098" s="576">
        <v>41627</v>
      </c>
      <c r="C1098" s="541">
        <v>132</v>
      </c>
      <c r="D1098" s="541" t="s">
        <v>812</v>
      </c>
      <c r="E1098" s="541" t="s">
        <v>513</v>
      </c>
      <c r="F1098" s="543" t="s">
        <v>514</v>
      </c>
      <c r="G1098" s="541">
        <v>390</v>
      </c>
      <c r="H1098" s="541" t="s">
        <v>603</v>
      </c>
      <c r="I1098" s="541" t="s">
        <v>516</v>
      </c>
      <c r="J1098" s="739">
        <v>-2000</v>
      </c>
    </row>
    <row r="1099" spans="1:10" ht="13.5">
      <c r="A1099" s="541"/>
      <c r="B1099" s="576"/>
      <c r="C1099" s="541">
        <v>132</v>
      </c>
      <c r="D1099" s="541"/>
      <c r="E1099" s="541" t="s">
        <v>513</v>
      </c>
      <c r="F1099" s="654" t="s">
        <v>518</v>
      </c>
      <c r="G1099" s="541">
        <v>390</v>
      </c>
      <c r="H1099" s="541" t="s">
        <v>677</v>
      </c>
      <c r="I1099" s="541" t="s">
        <v>516</v>
      </c>
      <c r="J1099" s="739">
        <v>-249</v>
      </c>
    </row>
    <row r="1100" spans="1:10" s="549" customFormat="1" ht="13.5">
      <c r="A1100" s="554"/>
      <c r="B1100" s="554"/>
      <c r="C1100" s="554">
        <v>132</v>
      </c>
      <c r="D1100" s="554"/>
      <c r="E1100" s="554"/>
      <c r="F1100" s="554"/>
      <c r="G1100" s="554">
        <v>390</v>
      </c>
      <c r="H1100" s="554"/>
      <c r="I1100" s="554"/>
      <c r="J1100" s="740">
        <v>-2249</v>
      </c>
    </row>
    <row r="1101" spans="1:10" ht="13.5">
      <c r="A1101" s="541"/>
      <c r="B1101" s="576"/>
      <c r="C1101" s="541">
        <v>132</v>
      </c>
      <c r="D1101" s="541"/>
      <c r="E1101" s="541" t="s">
        <v>513</v>
      </c>
      <c r="F1101" s="541"/>
      <c r="G1101" s="541">
        <v>380</v>
      </c>
      <c r="H1101" s="541" t="s">
        <v>603</v>
      </c>
      <c r="I1101" s="541" t="s">
        <v>516</v>
      </c>
      <c r="J1101" s="739">
        <v>-2500</v>
      </c>
    </row>
    <row r="1102" spans="1:10" s="549" customFormat="1" ht="13.5">
      <c r="A1102" s="554"/>
      <c r="B1102" s="554"/>
      <c r="C1102" s="554">
        <v>132</v>
      </c>
      <c r="D1102" s="554"/>
      <c r="E1102" s="554"/>
      <c r="F1102" s="554"/>
      <c r="G1102" s="554">
        <v>380</v>
      </c>
      <c r="H1102" s="554"/>
      <c r="I1102" s="554"/>
      <c r="J1102" s="740">
        <v>-2500</v>
      </c>
    </row>
    <row r="1103" spans="1:10" ht="13.5">
      <c r="A1103" s="541"/>
      <c r="B1103" s="576"/>
      <c r="C1103" s="541">
        <v>132</v>
      </c>
      <c r="D1103" s="541"/>
      <c r="E1103" s="541" t="s">
        <v>513</v>
      </c>
      <c r="F1103" s="541"/>
      <c r="G1103" s="541">
        <v>340</v>
      </c>
      <c r="H1103" s="541" t="s">
        <v>603</v>
      </c>
      <c r="I1103" s="541" t="s">
        <v>516</v>
      </c>
      <c r="J1103" s="739">
        <v>-141</v>
      </c>
    </row>
    <row r="1104" spans="1:10" ht="13.5">
      <c r="A1104" s="541"/>
      <c r="B1104" s="576"/>
      <c r="C1104" s="541">
        <v>132</v>
      </c>
      <c r="D1104" s="541"/>
      <c r="E1104" s="541" t="s">
        <v>517</v>
      </c>
      <c r="F1104" s="541"/>
      <c r="G1104" s="541">
        <v>340</v>
      </c>
      <c r="H1104" s="541" t="s">
        <v>677</v>
      </c>
      <c r="I1104" s="541" t="s">
        <v>516</v>
      </c>
      <c r="J1104" s="739">
        <v>141</v>
      </c>
    </row>
    <row r="1105" spans="1:10" ht="13.5">
      <c r="A1105" s="541"/>
      <c r="B1105" s="576"/>
      <c r="C1105" s="541"/>
      <c r="D1105" s="541"/>
      <c r="E1105" s="541" t="s">
        <v>517</v>
      </c>
      <c r="F1105" s="541"/>
      <c r="G1105" s="541">
        <v>340</v>
      </c>
      <c r="H1105" s="541" t="s">
        <v>663</v>
      </c>
      <c r="I1105" s="541" t="s">
        <v>516</v>
      </c>
      <c r="J1105" s="739">
        <v>1700</v>
      </c>
    </row>
    <row r="1106" spans="1:10" ht="13.5">
      <c r="A1106" s="541"/>
      <c r="B1106" s="576"/>
      <c r="C1106" s="541"/>
      <c r="D1106" s="541"/>
      <c r="E1106" s="541" t="s">
        <v>517</v>
      </c>
      <c r="F1106" s="541"/>
      <c r="G1106" s="541">
        <v>340</v>
      </c>
      <c r="H1106" s="541" t="s">
        <v>598</v>
      </c>
      <c r="I1106" s="541" t="s">
        <v>516</v>
      </c>
      <c r="J1106" s="739">
        <v>3885</v>
      </c>
    </row>
    <row r="1107" spans="1:10" ht="13.5">
      <c r="A1107" s="541"/>
      <c r="B1107" s="576"/>
      <c r="C1107" s="541"/>
      <c r="D1107" s="541"/>
      <c r="E1107" s="541" t="s">
        <v>517</v>
      </c>
      <c r="F1107" s="541"/>
      <c r="G1107" s="541">
        <v>340</v>
      </c>
      <c r="H1107" s="541" t="s">
        <v>599</v>
      </c>
      <c r="I1107" s="541" t="s">
        <v>516</v>
      </c>
      <c r="J1107" s="739">
        <v>1215</v>
      </c>
    </row>
    <row r="1108" spans="1:10" s="549" customFormat="1" ht="13.5">
      <c r="A1108" s="554"/>
      <c r="B1108" s="554"/>
      <c r="C1108" s="554">
        <v>132</v>
      </c>
      <c r="D1108" s="554"/>
      <c r="E1108" s="554"/>
      <c r="F1108" s="554"/>
      <c r="G1108" s="554">
        <v>340</v>
      </c>
      <c r="H1108" s="554"/>
      <c r="I1108" s="554"/>
      <c r="J1108" s="740">
        <v>6800</v>
      </c>
    </row>
    <row r="1109" spans="1:10" ht="13.5">
      <c r="A1109" s="541"/>
      <c r="B1109" s="576"/>
      <c r="C1109" s="541">
        <v>132</v>
      </c>
      <c r="D1109" s="541"/>
      <c r="E1109" s="541" t="s">
        <v>517</v>
      </c>
      <c r="F1109" s="541"/>
      <c r="G1109" s="541">
        <v>330</v>
      </c>
      <c r="H1109" s="541" t="s">
        <v>603</v>
      </c>
      <c r="I1109" s="541" t="s">
        <v>516</v>
      </c>
      <c r="J1109" s="739">
        <v>350</v>
      </c>
    </row>
    <row r="1110" spans="1:10" s="549" customFormat="1" ht="13.5">
      <c r="A1110" s="554"/>
      <c r="B1110" s="554"/>
      <c r="C1110" s="554">
        <v>132</v>
      </c>
      <c r="D1110" s="554"/>
      <c r="E1110" s="554"/>
      <c r="F1110" s="554"/>
      <c r="G1110" s="554">
        <v>330</v>
      </c>
      <c r="H1110" s="554"/>
      <c r="I1110" s="554"/>
      <c r="J1110" s="740">
        <v>350</v>
      </c>
    </row>
    <row r="1111" spans="1:10" ht="13.5">
      <c r="A1111" s="541"/>
      <c r="B1111" s="576"/>
      <c r="C1111" s="541">
        <v>132</v>
      </c>
      <c r="D1111" s="541"/>
      <c r="E1111" s="541" t="s">
        <v>513</v>
      </c>
      <c r="F1111" s="541"/>
      <c r="G1111" s="541">
        <v>31</v>
      </c>
      <c r="H1111" s="541" t="s">
        <v>654</v>
      </c>
      <c r="I1111" s="541" t="s">
        <v>516</v>
      </c>
      <c r="J1111" s="739">
        <v>-10280</v>
      </c>
    </row>
    <row r="1112" spans="1:10" s="549" customFormat="1" ht="13.5">
      <c r="A1112" s="554"/>
      <c r="B1112" s="554"/>
      <c r="C1112" s="554">
        <v>132</v>
      </c>
      <c r="D1112" s="554"/>
      <c r="E1112" s="554"/>
      <c r="F1112" s="554"/>
      <c r="G1112" s="554">
        <v>31</v>
      </c>
      <c r="H1112" s="554"/>
      <c r="I1112" s="554"/>
      <c r="J1112" s="740">
        <v>-8800</v>
      </c>
    </row>
    <row r="1113" spans="1:10" ht="13.5">
      <c r="A1113" s="541"/>
      <c r="B1113" s="576"/>
      <c r="C1113" s="541">
        <v>132</v>
      </c>
      <c r="D1113" s="541"/>
      <c r="E1113" s="541" t="s">
        <v>517</v>
      </c>
      <c r="F1113" s="541"/>
      <c r="G1113" s="541">
        <v>280</v>
      </c>
      <c r="H1113" s="541" t="s">
        <v>603</v>
      </c>
      <c r="I1113" s="541" t="s">
        <v>516</v>
      </c>
      <c r="J1113" s="739">
        <v>1200</v>
      </c>
    </row>
    <row r="1114" spans="1:10" ht="13.5">
      <c r="A1114" s="541"/>
      <c r="B1114" s="576"/>
      <c r="C1114" s="541">
        <v>132</v>
      </c>
      <c r="D1114" s="541"/>
      <c r="E1114" s="541" t="s">
        <v>513</v>
      </c>
      <c r="F1114" s="541"/>
      <c r="G1114" s="541">
        <v>280</v>
      </c>
      <c r="H1114" s="541" t="s">
        <v>745</v>
      </c>
      <c r="I1114" s="541" t="s">
        <v>516</v>
      </c>
      <c r="J1114" s="739">
        <v>-1200</v>
      </c>
    </row>
    <row r="1115" spans="1:10" s="549" customFormat="1" ht="13.5">
      <c r="A1115" s="554"/>
      <c r="B1115" s="554"/>
      <c r="C1115" s="554">
        <v>132</v>
      </c>
      <c r="D1115" s="554"/>
      <c r="E1115" s="554"/>
      <c r="F1115" s="554"/>
      <c r="G1115" s="554">
        <v>280</v>
      </c>
      <c r="H1115" s="554"/>
      <c r="I1115" s="554"/>
      <c r="J1115" s="740">
        <v>0</v>
      </c>
    </row>
    <row r="1116" spans="1:10" ht="13.5">
      <c r="A1116" s="541"/>
      <c r="B1116" s="576"/>
      <c r="C1116" s="541">
        <v>132</v>
      </c>
      <c r="D1116" s="541"/>
      <c r="E1116" s="541" t="s">
        <v>513</v>
      </c>
      <c r="F1116" s="541"/>
      <c r="G1116" s="541">
        <v>260</v>
      </c>
      <c r="H1116" s="541" t="s">
        <v>677</v>
      </c>
      <c r="I1116" s="541" t="s">
        <v>516</v>
      </c>
      <c r="J1116" s="739">
        <v>-1000</v>
      </c>
    </row>
    <row r="1117" spans="1:10" s="549" customFormat="1" ht="13.5">
      <c r="A1117" s="554"/>
      <c r="B1117" s="554"/>
      <c r="C1117" s="554">
        <v>132</v>
      </c>
      <c r="D1117" s="554"/>
      <c r="E1117" s="554"/>
      <c r="F1117" s="554"/>
      <c r="G1117" s="554">
        <v>260</v>
      </c>
      <c r="H1117" s="554"/>
      <c r="I1117" s="554"/>
      <c r="J1117" s="740">
        <v>-1000</v>
      </c>
    </row>
    <row r="1118" spans="1:10" ht="13.5">
      <c r="A1118" s="541"/>
      <c r="B1118" s="576"/>
      <c r="C1118" s="541">
        <v>132</v>
      </c>
      <c r="D1118" s="541"/>
      <c r="E1118" s="541" t="s">
        <v>517</v>
      </c>
      <c r="F1118" s="541"/>
      <c r="G1118" s="541">
        <v>240</v>
      </c>
      <c r="H1118" s="541" t="s">
        <v>677</v>
      </c>
      <c r="I1118" s="541" t="s">
        <v>516</v>
      </c>
      <c r="J1118" s="739">
        <v>52</v>
      </c>
    </row>
    <row r="1119" spans="1:10" s="549" customFormat="1" ht="13.5">
      <c r="A1119" s="554"/>
      <c r="B1119" s="554"/>
      <c r="C1119" s="554">
        <v>132</v>
      </c>
      <c r="D1119" s="554"/>
      <c r="E1119" s="554"/>
      <c r="F1119" s="554"/>
      <c r="G1119" s="554">
        <v>240</v>
      </c>
      <c r="H1119" s="554"/>
      <c r="I1119" s="554"/>
      <c r="J1119" s="740">
        <v>52</v>
      </c>
    </row>
    <row r="1120" spans="1:10" ht="13.5">
      <c r="A1120" s="541"/>
      <c r="B1120" s="576"/>
      <c r="C1120" s="541">
        <v>132</v>
      </c>
      <c r="D1120" s="541"/>
      <c r="E1120" s="541" t="s">
        <v>517</v>
      </c>
      <c r="F1120" s="541"/>
      <c r="G1120" s="541">
        <v>210</v>
      </c>
      <c r="H1120" s="541" t="s">
        <v>603</v>
      </c>
      <c r="I1120" s="541" t="s">
        <v>516</v>
      </c>
      <c r="J1120" s="739">
        <v>1500</v>
      </c>
    </row>
    <row r="1121" spans="1:10" s="549" customFormat="1" ht="13.5">
      <c r="A1121" s="554"/>
      <c r="B1121" s="554"/>
      <c r="C1121" s="554">
        <v>132</v>
      </c>
      <c r="D1121" s="554"/>
      <c r="E1121" s="554"/>
      <c r="F1121" s="554"/>
      <c r="G1121" s="554">
        <v>210</v>
      </c>
      <c r="H1121" s="554"/>
      <c r="I1121" s="554"/>
      <c r="J1121" s="740">
        <v>1500</v>
      </c>
    </row>
    <row r="1122" spans="1:10" ht="13.5">
      <c r="A1122" s="541"/>
      <c r="B1122" s="576"/>
      <c r="C1122" s="541">
        <v>132</v>
      </c>
      <c r="D1122" s="541"/>
      <c r="E1122" s="541" t="s">
        <v>517</v>
      </c>
      <c r="F1122" s="541"/>
      <c r="G1122" s="541">
        <v>200</v>
      </c>
      <c r="H1122" s="541" t="s">
        <v>677</v>
      </c>
      <c r="I1122" s="541" t="s">
        <v>516</v>
      </c>
      <c r="J1122" s="739">
        <v>503</v>
      </c>
    </row>
    <row r="1123" spans="1:10" ht="13.5">
      <c r="A1123" s="541"/>
      <c r="B1123" s="576"/>
      <c r="C1123" s="541">
        <v>132</v>
      </c>
      <c r="D1123" s="541"/>
      <c r="E1123" s="541" t="s">
        <v>513</v>
      </c>
      <c r="F1123" s="541"/>
      <c r="G1123" s="541">
        <v>200</v>
      </c>
      <c r="H1123" s="541" t="s">
        <v>603</v>
      </c>
      <c r="I1123" s="541" t="s">
        <v>516</v>
      </c>
      <c r="J1123" s="739">
        <v>-503</v>
      </c>
    </row>
    <row r="1124" spans="1:10" s="549" customFormat="1" ht="13.5">
      <c r="A1124" s="554"/>
      <c r="B1124" s="554"/>
      <c r="C1124" s="554">
        <v>132</v>
      </c>
      <c r="D1124" s="554"/>
      <c r="E1124" s="554"/>
      <c r="F1124" s="554"/>
      <c r="G1124" s="554">
        <v>200</v>
      </c>
      <c r="H1124" s="554"/>
      <c r="I1124" s="554"/>
      <c r="J1124" s="740">
        <v>0</v>
      </c>
    </row>
    <row r="1125" spans="1:10" ht="13.5">
      <c r="A1125" s="541"/>
      <c r="B1125" s="576"/>
      <c r="C1125" s="541">
        <v>132</v>
      </c>
      <c r="D1125" s="541"/>
      <c r="E1125" s="541" t="s">
        <v>513</v>
      </c>
      <c r="F1125" s="541"/>
      <c r="G1125" s="541">
        <v>190</v>
      </c>
      <c r="H1125" s="541" t="s">
        <v>603</v>
      </c>
      <c r="I1125" s="541" t="s">
        <v>516</v>
      </c>
      <c r="J1125" s="739">
        <v>-155</v>
      </c>
    </row>
    <row r="1126" spans="1:10" ht="13.5">
      <c r="A1126" s="541"/>
      <c r="B1126" s="576"/>
      <c r="C1126" s="541">
        <v>132</v>
      </c>
      <c r="D1126" s="541"/>
      <c r="E1126" s="541" t="s">
        <v>517</v>
      </c>
      <c r="F1126" s="541"/>
      <c r="G1126" s="541">
        <v>190</v>
      </c>
      <c r="H1126" s="541" t="s">
        <v>677</v>
      </c>
      <c r="I1126" s="541" t="s">
        <v>516</v>
      </c>
      <c r="J1126" s="739">
        <v>155</v>
      </c>
    </row>
    <row r="1127" spans="1:10" s="549" customFormat="1" ht="13.5">
      <c r="A1127" s="554"/>
      <c r="B1127" s="554"/>
      <c r="C1127" s="554">
        <v>132</v>
      </c>
      <c r="D1127" s="554"/>
      <c r="E1127" s="554"/>
      <c r="F1127" s="554"/>
      <c r="G1127" s="554">
        <v>190</v>
      </c>
      <c r="H1127" s="554"/>
      <c r="I1127" s="554"/>
      <c r="J1127" s="740">
        <v>0</v>
      </c>
    </row>
    <row r="1128" spans="1:10" ht="13.5">
      <c r="A1128" s="541"/>
      <c r="B1128" s="576"/>
      <c r="C1128" s="541">
        <v>132</v>
      </c>
      <c r="D1128" s="541"/>
      <c r="E1128" s="541" t="s">
        <v>517</v>
      </c>
      <c r="F1128" s="541"/>
      <c r="G1128" s="541">
        <v>180</v>
      </c>
      <c r="H1128" s="541" t="s">
        <v>603</v>
      </c>
      <c r="I1128" s="541" t="s">
        <v>516</v>
      </c>
      <c r="J1128" s="739">
        <v>2000</v>
      </c>
    </row>
    <row r="1129" spans="1:10" ht="13.5">
      <c r="A1129" s="541"/>
      <c r="B1129" s="576"/>
      <c r="C1129" s="541">
        <v>132</v>
      </c>
      <c r="D1129" s="541"/>
      <c r="E1129" s="541" t="s">
        <v>513</v>
      </c>
      <c r="F1129" s="541"/>
      <c r="G1129" s="541">
        <v>180</v>
      </c>
      <c r="H1129" s="541" t="s">
        <v>677</v>
      </c>
      <c r="I1129" s="541" t="s">
        <v>516</v>
      </c>
      <c r="J1129" s="739">
        <v>-1000</v>
      </c>
    </row>
    <row r="1130" spans="1:10" s="549" customFormat="1" ht="13.5">
      <c r="A1130" s="554"/>
      <c r="B1130" s="554"/>
      <c r="C1130" s="554">
        <v>132</v>
      </c>
      <c r="D1130" s="554"/>
      <c r="E1130" s="554"/>
      <c r="F1130" s="554"/>
      <c r="G1130" s="554">
        <v>180</v>
      </c>
      <c r="H1130" s="554"/>
      <c r="I1130" s="554"/>
      <c r="J1130" s="740">
        <v>1000</v>
      </c>
    </row>
    <row r="1131" spans="1:10" ht="13.5">
      <c r="A1131" s="541"/>
      <c r="B1131" s="576"/>
      <c r="C1131" s="541">
        <v>132</v>
      </c>
      <c r="D1131" s="541"/>
      <c r="E1131" s="541" t="s">
        <v>517</v>
      </c>
      <c r="F1131" s="541"/>
      <c r="G1131" s="541">
        <v>160</v>
      </c>
      <c r="H1131" s="541" t="s">
        <v>603</v>
      </c>
      <c r="I1131" s="541" t="s">
        <v>516</v>
      </c>
      <c r="J1131" s="739">
        <v>2500</v>
      </c>
    </row>
    <row r="1132" spans="1:10" s="549" customFormat="1" ht="13.5">
      <c r="A1132" s="554"/>
      <c r="B1132" s="554"/>
      <c r="C1132" s="554">
        <v>132</v>
      </c>
      <c r="D1132" s="554"/>
      <c r="E1132" s="554"/>
      <c r="F1132" s="554"/>
      <c r="G1132" s="554">
        <v>160</v>
      </c>
      <c r="H1132" s="554"/>
      <c r="I1132" s="554"/>
      <c r="J1132" s="740">
        <v>2500</v>
      </c>
    </row>
    <row r="1133" spans="1:10" ht="13.5">
      <c r="A1133" s="541"/>
      <c r="B1133" s="576"/>
      <c r="C1133" s="541">
        <v>132</v>
      </c>
      <c r="D1133" s="541"/>
      <c r="E1133" s="541" t="s">
        <v>513</v>
      </c>
      <c r="F1133" s="541"/>
      <c r="G1133" s="541">
        <v>150</v>
      </c>
      <c r="H1133" s="541" t="s">
        <v>603</v>
      </c>
      <c r="I1133" s="541" t="s">
        <v>516</v>
      </c>
      <c r="J1133" s="739">
        <v>-700</v>
      </c>
    </row>
    <row r="1134" spans="1:10" ht="13.5">
      <c r="A1134" s="541"/>
      <c r="B1134" s="576"/>
      <c r="C1134" s="541">
        <v>132</v>
      </c>
      <c r="D1134" s="541"/>
      <c r="E1134" s="541" t="s">
        <v>517</v>
      </c>
      <c r="F1134" s="541"/>
      <c r="G1134" s="541">
        <v>150</v>
      </c>
      <c r="H1134" s="541" t="s">
        <v>677</v>
      </c>
      <c r="I1134" s="541" t="s">
        <v>516</v>
      </c>
      <c r="J1134" s="739">
        <v>700</v>
      </c>
    </row>
    <row r="1135" spans="1:10" s="549" customFormat="1" ht="13.5">
      <c r="A1135" s="554"/>
      <c r="B1135" s="554"/>
      <c r="C1135" s="554">
        <v>132</v>
      </c>
      <c r="D1135" s="554"/>
      <c r="E1135" s="554"/>
      <c r="F1135" s="554"/>
      <c r="G1135" s="554">
        <v>150</v>
      </c>
      <c r="H1135" s="554"/>
      <c r="I1135" s="554"/>
      <c r="J1135" s="740">
        <v>0</v>
      </c>
    </row>
    <row r="1136" spans="1:10" ht="13.5">
      <c r="A1136" s="541"/>
      <c r="B1136" s="576"/>
      <c r="C1136" s="541">
        <v>132</v>
      </c>
      <c r="D1136" s="541"/>
      <c r="E1136" s="541" t="s">
        <v>513</v>
      </c>
      <c r="F1136" s="541"/>
      <c r="G1136" s="541">
        <v>110</v>
      </c>
      <c r="H1136" s="541" t="s">
        <v>677</v>
      </c>
      <c r="I1136" s="541" t="s">
        <v>516</v>
      </c>
      <c r="J1136" s="739">
        <v>-653</v>
      </c>
    </row>
    <row r="1137" spans="1:10" s="549" customFormat="1" ht="13.5">
      <c r="A1137" s="554"/>
      <c r="B1137" s="554"/>
      <c r="C1137" s="554">
        <v>132</v>
      </c>
      <c r="D1137" s="554"/>
      <c r="E1137" s="554"/>
      <c r="F1137" s="554"/>
      <c r="G1137" s="554">
        <v>110</v>
      </c>
      <c r="H1137" s="554"/>
      <c r="I1137" s="554"/>
      <c r="J1137" s="740">
        <v>-653</v>
      </c>
    </row>
    <row r="1138" spans="1:10" ht="13.5">
      <c r="A1138" s="541"/>
      <c r="B1138" s="576"/>
      <c r="C1138" s="541">
        <v>132</v>
      </c>
      <c r="D1138" s="541"/>
      <c r="E1138" s="541" t="s">
        <v>517</v>
      </c>
      <c r="F1138" s="541"/>
      <c r="G1138" s="541">
        <v>100</v>
      </c>
      <c r="H1138" s="541" t="s">
        <v>689</v>
      </c>
      <c r="I1138" s="541" t="s">
        <v>516</v>
      </c>
      <c r="J1138" s="739">
        <v>2000</v>
      </c>
    </row>
    <row r="1139" spans="1:10" ht="13.5">
      <c r="A1139" s="541"/>
      <c r="B1139" s="576"/>
      <c r="C1139" s="541"/>
      <c r="D1139" s="541"/>
      <c r="E1139" s="541" t="s">
        <v>517</v>
      </c>
      <c r="F1139" s="541"/>
      <c r="G1139" s="541">
        <v>100</v>
      </c>
      <c r="H1139" s="541" t="s">
        <v>707</v>
      </c>
      <c r="I1139" s="541" t="s">
        <v>516</v>
      </c>
      <c r="J1139" s="739">
        <v>1480</v>
      </c>
    </row>
    <row r="1140" spans="1:10" s="549" customFormat="1" ht="13.5">
      <c r="A1140" s="554"/>
      <c r="B1140" s="554"/>
      <c r="C1140" s="554">
        <v>132</v>
      </c>
      <c r="D1140" s="554"/>
      <c r="E1140" s="554"/>
      <c r="F1140" s="554"/>
      <c r="G1140" s="554">
        <v>100</v>
      </c>
      <c r="H1140" s="554"/>
      <c r="I1140" s="554"/>
      <c r="J1140" s="740">
        <f>SUM(J1138:J1139)</f>
        <v>3480</v>
      </c>
    </row>
    <row r="1141" spans="1:10" ht="13.5">
      <c r="A1141" s="541"/>
      <c r="B1141" s="576"/>
      <c r="C1141" s="541">
        <v>132</v>
      </c>
      <c r="D1141" s="541"/>
      <c r="E1141" s="541" t="s">
        <v>517</v>
      </c>
      <c r="F1141" s="541"/>
      <c r="G1141" s="550" t="s">
        <v>705</v>
      </c>
      <c r="H1141" s="541" t="s">
        <v>603</v>
      </c>
      <c r="I1141" s="541" t="s">
        <v>516</v>
      </c>
      <c r="J1141" s="739">
        <v>1175</v>
      </c>
    </row>
    <row r="1142" spans="1:10" ht="13.5">
      <c r="A1142" s="541"/>
      <c r="B1142" s="576"/>
      <c r="C1142" s="541">
        <v>132</v>
      </c>
      <c r="D1142" s="541"/>
      <c r="E1142" s="541" t="s">
        <v>517</v>
      </c>
      <c r="F1142" s="541"/>
      <c r="G1142" s="550" t="s">
        <v>705</v>
      </c>
      <c r="H1142" s="541" t="s">
        <v>677</v>
      </c>
      <c r="I1142" s="541" t="s">
        <v>516</v>
      </c>
      <c r="J1142" s="739">
        <v>165</v>
      </c>
    </row>
    <row r="1143" spans="1:10" ht="13.5">
      <c r="A1143" s="541"/>
      <c r="B1143" s="576"/>
      <c r="C1143" s="541">
        <v>132</v>
      </c>
      <c r="D1143" s="541"/>
      <c r="E1143" s="541" t="s">
        <v>513</v>
      </c>
      <c r="F1143" s="541"/>
      <c r="G1143" s="550" t="s">
        <v>705</v>
      </c>
      <c r="H1143" s="541" t="s">
        <v>745</v>
      </c>
      <c r="I1143" s="541" t="s">
        <v>516</v>
      </c>
      <c r="J1143" s="739">
        <v>-800</v>
      </c>
    </row>
    <row r="1144" spans="1:10" ht="13.5">
      <c r="A1144" s="541"/>
      <c r="B1144" s="576"/>
      <c r="C1144" s="541">
        <v>132</v>
      </c>
      <c r="D1144" s="541"/>
      <c r="E1144" s="541" t="s">
        <v>513</v>
      </c>
      <c r="F1144" s="541"/>
      <c r="G1144" s="550" t="s">
        <v>705</v>
      </c>
      <c r="H1144" s="541" t="s">
        <v>774</v>
      </c>
      <c r="I1144" s="541" t="s">
        <v>516</v>
      </c>
      <c r="J1144" s="739">
        <v>-540</v>
      </c>
    </row>
    <row r="1145" spans="1:10" s="549" customFormat="1" ht="13.5">
      <c r="A1145" s="554"/>
      <c r="B1145" s="554"/>
      <c r="C1145" s="554">
        <v>132</v>
      </c>
      <c r="D1145" s="554"/>
      <c r="E1145" s="554"/>
      <c r="F1145" s="554"/>
      <c r="G1145" s="746" t="s">
        <v>705</v>
      </c>
      <c r="H1145" s="554"/>
      <c r="I1145" s="554"/>
      <c r="J1145" s="740">
        <v>0</v>
      </c>
    </row>
    <row r="1146" spans="1:10" ht="13.5">
      <c r="A1146" s="541"/>
      <c r="B1146" s="576"/>
      <c r="C1146" s="541">
        <v>132</v>
      </c>
      <c r="D1146" s="541"/>
      <c r="E1146" s="541" t="s">
        <v>517</v>
      </c>
      <c r="F1146" s="541"/>
      <c r="G1146" s="550" t="s">
        <v>631</v>
      </c>
      <c r="H1146" s="541" t="s">
        <v>603</v>
      </c>
      <c r="I1146" s="541" t="s">
        <v>516</v>
      </c>
      <c r="J1146" s="739">
        <v>1000</v>
      </c>
    </row>
    <row r="1147" spans="1:10" ht="13.5">
      <c r="A1147" s="741" t="s">
        <v>813</v>
      </c>
      <c r="B1147" s="744"/>
      <c r="C1147" s="547">
        <v>132</v>
      </c>
      <c r="D1147" s="547"/>
      <c r="E1147" s="547"/>
      <c r="F1147" s="547"/>
      <c r="G1147" s="551" t="s">
        <v>631</v>
      </c>
      <c r="H1147" s="547"/>
      <c r="I1147" s="547"/>
      <c r="J1147" s="742">
        <v>1000</v>
      </c>
    </row>
    <row r="1148" spans="1:10" ht="12.75">
      <c r="A1148" s="582"/>
      <c r="B1148" s="582"/>
      <c r="C1148" s="582"/>
      <c r="D1148" s="582"/>
      <c r="E1148" s="582"/>
      <c r="F1148" s="582"/>
      <c r="G1148" s="582"/>
      <c r="H1148" s="582"/>
      <c r="I1148" s="582"/>
      <c r="J1148" s="582"/>
    </row>
    <row r="1149" spans="1:10" ht="13.5">
      <c r="A1149" s="541">
        <v>723</v>
      </c>
      <c r="B1149" s="576">
        <v>41627</v>
      </c>
      <c r="C1149" s="541">
        <v>132</v>
      </c>
      <c r="D1149" s="541" t="s">
        <v>814</v>
      </c>
      <c r="E1149" s="541" t="s">
        <v>517</v>
      </c>
      <c r="F1149" s="543" t="s">
        <v>514</v>
      </c>
      <c r="G1149" s="541">
        <v>35</v>
      </c>
      <c r="H1149" s="541" t="s">
        <v>551</v>
      </c>
      <c r="I1149" s="541" t="s">
        <v>580</v>
      </c>
      <c r="J1149" s="739">
        <v>1680</v>
      </c>
    </row>
    <row r="1150" spans="1:10" ht="13.5">
      <c r="A1150" s="541"/>
      <c r="B1150" s="576"/>
      <c r="C1150" s="541"/>
      <c r="D1150" s="541"/>
      <c r="E1150" s="541" t="s">
        <v>517</v>
      </c>
      <c r="F1150" s="654" t="s">
        <v>518</v>
      </c>
      <c r="G1150" s="541">
        <v>35</v>
      </c>
      <c r="H1150" s="541" t="s">
        <v>713</v>
      </c>
      <c r="I1150" s="541" t="s">
        <v>714</v>
      </c>
      <c r="J1150" s="739">
        <v>868</v>
      </c>
    </row>
    <row r="1151" spans="1:10" ht="13.5">
      <c r="A1151" s="541"/>
      <c r="B1151" s="576"/>
      <c r="C1151" s="541"/>
      <c r="D1151" s="541"/>
      <c r="E1151" s="541" t="s">
        <v>517</v>
      </c>
      <c r="F1151" s="541"/>
      <c r="G1151" s="541">
        <v>35</v>
      </c>
      <c r="H1151" s="541" t="s">
        <v>553</v>
      </c>
      <c r="I1151" s="541" t="s">
        <v>815</v>
      </c>
      <c r="J1151" s="739">
        <v>1600</v>
      </c>
    </row>
    <row r="1152" spans="1:10" ht="13.5">
      <c r="A1152" s="541"/>
      <c r="B1152" s="576"/>
      <c r="C1152" s="541"/>
      <c r="D1152" s="541"/>
      <c r="E1152" s="541" t="s">
        <v>513</v>
      </c>
      <c r="F1152" s="541"/>
      <c r="G1152" s="541">
        <v>35</v>
      </c>
      <c r="H1152" s="541" t="s">
        <v>557</v>
      </c>
      <c r="I1152" s="541" t="s">
        <v>719</v>
      </c>
      <c r="J1152" s="739">
        <v>-2468</v>
      </c>
    </row>
    <row r="1153" spans="1:10" ht="13.5">
      <c r="A1153" s="541"/>
      <c r="B1153" s="576"/>
      <c r="C1153" s="541"/>
      <c r="D1153" s="541"/>
      <c r="E1153" s="541" t="s">
        <v>513</v>
      </c>
      <c r="F1153" s="541"/>
      <c r="G1153" s="541">
        <v>35</v>
      </c>
      <c r="H1153" s="541" t="s">
        <v>560</v>
      </c>
      <c r="I1153" s="541" t="s">
        <v>580</v>
      </c>
      <c r="J1153" s="739">
        <v>-1680</v>
      </c>
    </row>
    <row r="1154" spans="1:10" ht="13.5">
      <c r="A1154" s="741" t="s">
        <v>816</v>
      </c>
      <c r="B1154" s="744"/>
      <c r="C1154" s="547">
        <v>132</v>
      </c>
      <c r="D1154" s="547"/>
      <c r="E1154" s="547"/>
      <c r="F1154" s="547"/>
      <c r="G1154" s="547">
        <v>35</v>
      </c>
      <c r="H1154" s="547"/>
      <c r="I1154" s="547"/>
      <c r="J1154" s="742">
        <v>0</v>
      </c>
    </row>
    <row r="1155" spans="1:10" ht="12.75">
      <c r="A1155" s="582"/>
      <c r="B1155" s="582"/>
      <c r="C1155" s="582"/>
      <c r="D1155" s="582"/>
      <c r="E1155" s="582"/>
      <c r="F1155" s="582"/>
      <c r="G1155" s="582"/>
      <c r="H1155" s="582"/>
      <c r="I1155" s="582"/>
      <c r="J1155" s="582"/>
    </row>
    <row r="1156" spans="1:10" ht="13.5">
      <c r="A1156" s="541">
        <v>741</v>
      </c>
      <c r="B1156" s="576">
        <v>41627</v>
      </c>
      <c r="C1156" s="541">
        <v>132</v>
      </c>
      <c r="D1156" s="541" t="s">
        <v>817</v>
      </c>
      <c r="E1156" s="541" t="s">
        <v>517</v>
      </c>
      <c r="F1156" s="543" t="s">
        <v>514</v>
      </c>
      <c r="G1156" s="541">
        <v>43</v>
      </c>
      <c r="H1156" s="541" t="s">
        <v>650</v>
      </c>
      <c r="I1156" s="541" t="s">
        <v>516</v>
      </c>
      <c r="J1156" s="739">
        <v>341319</v>
      </c>
    </row>
    <row r="1157" spans="1:10" ht="13.5">
      <c r="A1157" s="541"/>
      <c r="B1157" s="541"/>
      <c r="C1157" s="554">
        <v>132</v>
      </c>
      <c r="D1157" s="541"/>
      <c r="E1157" s="541"/>
      <c r="F1157" s="654" t="s">
        <v>518</v>
      </c>
      <c r="G1157" s="554">
        <v>43</v>
      </c>
      <c r="H1157" s="554"/>
      <c r="I1157" s="554"/>
      <c r="J1157" s="740">
        <v>341319</v>
      </c>
    </row>
    <row r="1158" spans="1:10" ht="13.5">
      <c r="A1158" s="541"/>
      <c r="B1158" s="576"/>
      <c r="C1158" s="541">
        <v>132</v>
      </c>
      <c r="D1158" s="541"/>
      <c r="E1158" s="541" t="s">
        <v>513</v>
      </c>
      <c r="F1158" s="541"/>
      <c r="G1158" s="541">
        <v>390</v>
      </c>
      <c r="H1158" s="541" t="s">
        <v>736</v>
      </c>
      <c r="I1158" s="541" t="s">
        <v>516</v>
      </c>
      <c r="J1158" s="739">
        <v>-71</v>
      </c>
    </row>
    <row r="1159" spans="1:10" ht="13.5">
      <c r="A1159" s="541"/>
      <c r="B1159" s="576"/>
      <c r="C1159" s="541">
        <v>132</v>
      </c>
      <c r="D1159" s="541"/>
      <c r="E1159" s="541" t="s">
        <v>513</v>
      </c>
      <c r="F1159" s="541"/>
      <c r="G1159" s="541">
        <v>390</v>
      </c>
      <c r="H1159" s="541" t="s">
        <v>702</v>
      </c>
      <c r="I1159" s="541" t="s">
        <v>516</v>
      </c>
      <c r="J1159" s="739">
        <v>-1574</v>
      </c>
    </row>
    <row r="1160" spans="1:10" s="549" customFormat="1" ht="13.5">
      <c r="A1160" s="554"/>
      <c r="B1160" s="554"/>
      <c r="C1160" s="554">
        <v>132</v>
      </c>
      <c r="D1160" s="554"/>
      <c r="E1160" s="554"/>
      <c r="F1160" s="554"/>
      <c r="G1160" s="554">
        <v>390</v>
      </c>
      <c r="H1160" s="554"/>
      <c r="I1160" s="554"/>
      <c r="J1160" s="740">
        <v>-1645</v>
      </c>
    </row>
    <row r="1161" spans="1:10" ht="13.5">
      <c r="A1161" s="541"/>
      <c r="B1161" s="576"/>
      <c r="C1161" s="541">
        <v>132</v>
      </c>
      <c r="D1161" s="541"/>
      <c r="E1161" s="541" t="s">
        <v>513</v>
      </c>
      <c r="F1161" s="541"/>
      <c r="G1161" s="541">
        <v>370</v>
      </c>
      <c r="H1161" s="541" t="s">
        <v>736</v>
      </c>
      <c r="I1161" s="541" t="s">
        <v>516</v>
      </c>
      <c r="J1161" s="739">
        <v>-32304</v>
      </c>
    </row>
    <row r="1162" spans="1:10" ht="13.5">
      <c r="A1162" s="541"/>
      <c r="B1162" s="576"/>
      <c r="C1162" s="541">
        <v>132</v>
      </c>
      <c r="D1162" s="541"/>
      <c r="E1162" s="541" t="s">
        <v>513</v>
      </c>
      <c r="F1162" s="541"/>
      <c r="G1162" s="541">
        <v>370</v>
      </c>
      <c r="H1162" s="541" t="s">
        <v>702</v>
      </c>
      <c r="I1162" s="541" t="s">
        <v>516</v>
      </c>
      <c r="J1162" s="739">
        <v>-2211</v>
      </c>
    </row>
    <row r="1163" spans="1:10" s="549" customFormat="1" ht="13.5">
      <c r="A1163" s="554"/>
      <c r="B1163" s="554"/>
      <c r="C1163" s="554">
        <v>132</v>
      </c>
      <c r="D1163" s="554"/>
      <c r="E1163" s="554"/>
      <c r="F1163" s="554"/>
      <c r="G1163" s="554">
        <v>370</v>
      </c>
      <c r="H1163" s="554"/>
      <c r="I1163" s="554"/>
      <c r="J1163" s="740">
        <v>-34515</v>
      </c>
    </row>
    <row r="1164" spans="1:10" ht="13.5">
      <c r="A1164" s="541"/>
      <c r="B1164" s="576"/>
      <c r="C1164" s="541">
        <v>132</v>
      </c>
      <c r="D1164" s="541"/>
      <c r="E1164" s="541" t="s">
        <v>513</v>
      </c>
      <c r="F1164" s="541"/>
      <c r="G1164" s="541">
        <v>360</v>
      </c>
      <c r="H1164" s="541" t="s">
        <v>736</v>
      </c>
      <c r="I1164" s="541" t="s">
        <v>516</v>
      </c>
      <c r="J1164" s="739">
        <v>-17695</v>
      </c>
    </row>
    <row r="1165" spans="1:10" ht="13.5">
      <c r="A1165" s="541"/>
      <c r="B1165" s="576"/>
      <c r="C1165" s="541">
        <v>132</v>
      </c>
      <c r="D1165" s="541"/>
      <c r="E1165" s="541" t="s">
        <v>513</v>
      </c>
      <c r="F1165" s="541"/>
      <c r="G1165" s="541">
        <v>360</v>
      </c>
      <c r="H1165" s="541" t="s">
        <v>702</v>
      </c>
      <c r="I1165" s="541" t="s">
        <v>516</v>
      </c>
      <c r="J1165" s="739">
        <v>-1200</v>
      </c>
    </row>
    <row r="1166" spans="1:10" s="549" customFormat="1" ht="13.5">
      <c r="A1166" s="554"/>
      <c r="B1166" s="554"/>
      <c r="C1166" s="554">
        <v>132</v>
      </c>
      <c r="D1166" s="554"/>
      <c r="E1166" s="554"/>
      <c r="F1166" s="554"/>
      <c r="G1166" s="554">
        <v>360</v>
      </c>
      <c r="H1166" s="554"/>
      <c r="I1166" s="554"/>
      <c r="J1166" s="740">
        <v>-18895</v>
      </c>
    </row>
    <row r="1167" spans="1:10" ht="13.5">
      <c r="A1167" s="541"/>
      <c r="B1167" s="576"/>
      <c r="C1167" s="541">
        <v>132</v>
      </c>
      <c r="D1167" s="541"/>
      <c r="E1167" s="541" t="s">
        <v>513</v>
      </c>
      <c r="F1167" s="541"/>
      <c r="G1167" s="541">
        <v>330</v>
      </c>
      <c r="H1167" s="541" t="s">
        <v>736</v>
      </c>
      <c r="I1167" s="541" t="s">
        <v>516</v>
      </c>
      <c r="J1167" s="739">
        <v>-36749</v>
      </c>
    </row>
    <row r="1168" spans="1:10" ht="13.5">
      <c r="A1168" s="541"/>
      <c r="B1168" s="576"/>
      <c r="C1168" s="541">
        <v>132</v>
      </c>
      <c r="D1168" s="541"/>
      <c r="E1168" s="541" t="s">
        <v>513</v>
      </c>
      <c r="F1168" s="541"/>
      <c r="G1168" s="541">
        <v>330</v>
      </c>
      <c r="H1168" s="541" t="s">
        <v>702</v>
      </c>
      <c r="I1168" s="541" t="s">
        <v>516</v>
      </c>
      <c r="J1168" s="739">
        <v>-4684</v>
      </c>
    </row>
    <row r="1169" spans="1:10" s="549" customFormat="1" ht="13.5">
      <c r="A1169" s="554"/>
      <c r="B1169" s="554"/>
      <c r="C1169" s="554">
        <v>132</v>
      </c>
      <c r="D1169" s="554"/>
      <c r="E1169" s="554"/>
      <c r="F1169" s="554"/>
      <c r="G1169" s="554">
        <v>330</v>
      </c>
      <c r="H1169" s="554"/>
      <c r="I1169" s="554"/>
      <c r="J1169" s="740">
        <v>-41433</v>
      </c>
    </row>
    <row r="1170" spans="1:10" ht="13.5">
      <c r="A1170" s="541"/>
      <c r="B1170" s="576"/>
      <c r="C1170" s="541">
        <v>132</v>
      </c>
      <c r="D1170" s="541"/>
      <c r="E1170" s="541" t="s">
        <v>513</v>
      </c>
      <c r="F1170" s="541"/>
      <c r="G1170" s="541">
        <v>320</v>
      </c>
      <c r="H1170" s="541" t="s">
        <v>736</v>
      </c>
      <c r="I1170" s="541" t="s">
        <v>516</v>
      </c>
      <c r="J1170" s="739">
        <v>-4947</v>
      </c>
    </row>
    <row r="1171" spans="1:10" ht="13.5">
      <c r="A1171" s="541"/>
      <c r="B1171" s="576"/>
      <c r="C1171" s="541">
        <v>132</v>
      </c>
      <c r="D1171" s="541"/>
      <c r="E1171" s="541" t="s">
        <v>513</v>
      </c>
      <c r="F1171" s="541"/>
      <c r="G1171" s="541">
        <v>320</v>
      </c>
      <c r="H1171" s="541" t="s">
        <v>702</v>
      </c>
      <c r="I1171" s="541" t="s">
        <v>516</v>
      </c>
      <c r="J1171" s="739">
        <v>-4296</v>
      </c>
    </row>
    <row r="1172" spans="1:10" s="549" customFormat="1" ht="13.5">
      <c r="A1172" s="554"/>
      <c r="B1172" s="554"/>
      <c r="C1172" s="554">
        <v>132</v>
      </c>
      <c r="D1172" s="554"/>
      <c r="E1172" s="554"/>
      <c r="F1172" s="554"/>
      <c r="G1172" s="554">
        <v>320</v>
      </c>
      <c r="H1172" s="554"/>
      <c r="I1172" s="554"/>
      <c r="J1172" s="740">
        <v>-9243</v>
      </c>
    </row>
    <row r="1173" spans="1:10" ht="13.5">
      <c r="A1173" s="541"/>
      <c r="B1173" s="576"/>
      <c r="C1173" s="541">
        <v>132</v>
      </c>
      <c r="D1173" s="541"/>
      <c r="E1173" s="541" t="s">
        <v>513</v>
      </c>
      <c r="F1173" s="541"/>
      <c r="G1173" s="541">
        <v>310</v>
      </c>
      <c r="H1173" s="541" t="s">
        <v>736</v>
      </c>
      <c r="I1173" s="541" t="s">
        <v>516</v>
      </c>
      <c r="J1173" s="739">
        <v>-1400</v>
      </c>
    </row>
    <row r="1174" spans="1:10" ht="13.5">
      <c r="A1174" s="541"/>
      <c r="B1174" s="576"/>
      <c r="C1174" s="541">
        <v>132</v>
      </c>
      <c r="D1174" s="541"/>
      <c r="E1174" s="541" t="s">
        <v>513</v>
      </c>
      <c r="F1174" s="541"/>
      <c r="G1174" s="541">
        <v>310</v>
      </c>
      <c r="H1174" s="541" t="s">
        <v>702</v>
      </c>
      <c r="I1174" s="541" t="s">
        <v>516</v>
      </c>
      <c r="J1174" s="739">
        <v>-250</v>
      </c>
    </row>
    <row r="1175" spans="1:10" s="549" customFormat="1" ht="13.5">
      <c r="A1175" s="554"/>
      <c r="B1175" s="554"/>
      <c r="C1175" s="554">
        <v>132</v>
      </c>
      <c r="D1175" s="554"/>
      <c r="E1175" s="554"/>
      <c r="F1175" s="554"/>
      <c r="G1175" s="554">
        <v>310</v>
      </c>
      <c r="H1175" s="554"/>
      <c r="I1175" s="554"/>
      <c r="J1175" s="740">
        <v>-1650</v>
      </c>
    </row>
    <row r="1176" spans="1:10" ht="13.5">
      <c r="A1176" s="541"/>
      <c r="B1176" s="576"/>
      <c r="C1176" s="541">
        <v>132</v>
      </c>
      <c r="D1176" s="541"/>
      <c r="E1176" s="541" t="s">
        <v>513</v>
      </c>
      <c r="F1176" s="541"/>
      <c r="G1176" s="541">
        <v>300</v>
      </c>
      <c r="H1176" s="541" t="s">
        <v>736</v>
      </c>
      <c r="I1176" s="541" t="s">
        <v>516</v>
      </c>
      <c r="J1176" s="739">
        <v>-2500</v>
      </c>
    </row>
    <row r="1177" spans="1:10" s="549" customFormat="1" ht="13.5">
      <c r="A1177" s="554"/>
      <c r="B1177" s="554"/>
      <c r="C1177" s="554">
        <v>132</v>
      </c>
      <c r="D1177" s="554"/>
      <c r="E1177" s="554"/>
      <c r="F1177" s="554"/>
      <c r="G1177" s="554">
        <v>300</v>
      </c>
      <c r="H1177" s="554"/>
      <c r="I1177" s="554"/>
      <c r="J1177" s="740">
        <v>-2500</v>
      </c>
    </row>
    <row r="1178" spans="1:10" ht="13.5">
      <c r="A1178" s="541"/>
      <c r="B1178" s="576"/>
      <c r="C1178" s="541">
        <v>132</v>
      </c>
      <c r="D1178" s="541"/>
      <c r="E1178" s="541" t="s">
        <v>513</v>
      </c>
      <c r="F1178" s="541"/>
      <c r="G1178" s="541">
        <v>290</v>
      </c>
      <c r="H1178" s="541" t="s">
        <v>736</v>
      </c>
      <c r="I1178" s="541" t="s">
        <v>516</v>
      </c>
      <c r="J1178" s="739">
        <v>-9893</v>
      </c>
    </row>
    <row r="1179" spans="1:10" ht="13.5">
      <c r="A1179" s="541"/>
      <c r="B1179" s="576"/>
      <c r="C1179" s="541">
        <v>132</v>
      </c>
      <c r="D1179" s="541"/>
      <c r="E1179" s="541" t="s">
        <v>513</v>
      </c>
      <c r="F1179" s="541"/>
      <c r="G1179" s="541">
        <v>290</v>
      </c>
      <c r="H1179" s="541" t="s">
        <v>702</v>
      </c>
      <c r="I1179" s="541" t="s">
        <v>516</v>
      </c>
      <c r="J1179" s="739">
        <v>-2100</v>
      </c>
    </row>
    <row r="1180" spans="1:10" s="549" customFormat="1" ht="13.5">
      <c r="A1180" s="554"/>
      <c r="B1180" s="554"/>
      <c r="C1180" s="554">
        <v>132</v>
      </c>
      <c r="D1180" s="554"/>
      <c r="E1180" s="554"/>
      <c r="F1180" s="554"/>
      <c r="G1180" s="554">
        <v>290</v>
      </c>
      <c r="H1180" s="554"/>
      <c r="I1180" s="554"/>
      <c r="J1180" s="740">
        <v>-11993</v>
      </c>
    </row>
    <row r="1181" spans="1:10" ht="13.5">
      <c r="A1181" s="541"/>
      <c r="B1181" s="576"/>
      <c r="C1181" s="541">
        <v>132</v>
      </c>
      <c r="D1181" s="541"/>
      <c r="E1181" s="541" t="s">
        <v>513</v>
      </c>
      <c r="F1181" s="541"/>
      <c r="G1181" s="541">
        <v>280</v>
      </c>
      <c r="H1181" s="541" t="s">
        <v>736</v>
      </c>
      <c r="I1181" s="541" t="s">
        <v>516</v>
      </c>
      <c r="J1181" s="739">
        <v>-5420</v>
      </c>
    </row>
    <row r="1182" spans="1:10" s="549" customFormat="1" ht="13.5">
      <c r="A1182" s="554"/>
      <c r="B1182" s="554"/>
      <c r="C1182" s="554">
        <v>132</v>
      </c>
      <c r="D1182" s="554"/>
      <c r="E1182" s="554"/>
      <c r="F1182" s="554"/>
      <c r="G1182" s="554">
        <v>280</v>
      </c>
      <c r="H1182" s="554"/>
      <c r="I1182" s="554"/>
      <c r="J1182" s="740">
        <v>-5420</v>
      </c>
    </row>
    <row r="1183" spans="1:10" ht="13.5">
      <c r="A1183" s="541"/>
      <c r="B1183" s="576"/>
      <c r="C1183" s="541">
        <v>132</v>
      </c>
      <c r="D1183" s="541"/>
      <c r="E1183" s="541" t="s">
        <v>513</v>
      </c>
      <c r="F1183" s="541"/>
      <c r="G1183" s="541">
        <v>270</v>
      </c>
      <c r="H1183" s="541" t="s">
        <v>736</v>
      </c>
      <c r="I1183" s="541" t="s">
        <v>516</v>
      </c>
      <c r="J1183" s="739">
        <v>-2000</v>
      </c>
    </row>
    <row r="1184" spans="1:10" ht="13.5">
      <c r="A1184" s="541"/>
      <c r="B1184" s="576"/>
      <c r="C1184" s="541">
        <v>132</v>
      </c>
      <c r="D1184" s="541"/>
      <c r="E1184" s="541" t="s">
        <v>513</v>
      </c>
      <c r="F1184" s="541"/>
      <c r="G1184" s="541">
        <v>270</v>
      </c>
      <c r="H1184" s="541" t="s">
        <v>702</v>
      </c>
      <c r="I1184" s="541" t="s">
        <v>516</v>
      </c>
      <c r="J1184" s="739">
        <v>-1000</v>
      </c>
    </row>
    <row r="1185" spans="1:10" s="549" customFormat="1" ht="13.5">
      <c r="A1185" s="554"/>
      <c r="B1185" s="554"/>
      <c r="C1185" s="554">
        <v>132</v>
      </c>
      <c r="D1185" s="554"/>
      <c r="E1185" s="554"/>
      <c r="F1185" s="554"/>
      <c r="G1185" s="554">
        <v>270</v>
      </c>
      <c r="H1185" s="554"/>
      <c r="I1185" s="554"/>
      <c r="J1185" s="740">
        <v>-3000</v>
      </c>
    </row>
    <row r="1186" spans="1:10" ht="13.5">
      <c r="A1186" s="541"/>
      <c r="B1186" s="576"/>
      <c r="C1186" s="541">
        <v>132</v>
      </c>
      <c r="D1186" s="541"/>
      <c r="E1186" s="541" t="s">
        <v>513</v>
      </c>
      <c r="F1186" s="541"/>
      <c r="G1186" s="541">
        <v>260</v>
      </c>
      <c r="H1186" s="541" t="s">
        <v>736</v>
      </c>
      <c r="I1186" s="541" t="s">
        <v>516</v>
      </c>
      <c r="J1186" s="739">
        <v>-5950</v>
      </c>
    </row>
    <row r="1187" spans="1:10" ht="13.5">
      <c r="A1187" s="541"/>
      <c r="B1187" s="576"/>
      <c r="C1187" s="541">
        <v>132</v>
      </c>
      <c r="D1187" s="541"/>
      <c r="E1187" s="541" t="s">
        <v>513</v>
      </c>
      <c r="F1187" s="541"/>
      <c r="G1187" s="541">
        <v>260</v>
      </c>
      <c r="H1187" s="541" t="s">
        <v>702</v>
      </c>
      <c r="I1187" s="541" t="s">
        <v>516</v>
      </c>
      <c r="J1187" s="739">
        <v>-7278</v>
      </c>
    </row>
    <row r="1188" spans="1:10" s="549" customFormat="1" ht="13.5">
      <c r="A1188" s="554"/>
      <c r="B1188" s="554"/>
      <c r="C1188" s="554">
        <v>132</v>
      </c>
      <c r="D1188" s="554"/>
      <c r="E1188" s="554"/>
      <c r="F1188" s="554"/>
      <c r="G1188" s="554">
        <v>260</v>
      </c>
      <c r="H1188" s="554"/>
      <c r="I1188" s="554"/>
      <c r="J1188" s="740">
        <v>-13228</v>
      </c>
    </row>
    <row r="1189" spans="1:10" ht="13.5">
      <c r="A1189" s="541"/>
      <c r="B1189" s="576"/>
      <c r="C1189" s="541">
        <v>132</v>
      </c>
      <c r="D1189" s="541"/>
      <c r="E1189" s="541" t="s">
        <v>513</v>
      </c>
      <c r="F1189" s="541"/>
      <c r="G1189" s="541">
        <v>250</v>
      </c>
      <c r="H1189" s="541" t="s">
        <v>736</v>
      </c>
      <c r="I1189" s="541" t="s">
        <v>516</v>
      </c>
      <c r="J1189" s="739">
        <v>-12200</v>
      </c>
    </row>
    <row r="1190" spans="1:10" ht="13.5">
      <c r="A1190" s="541"/>
      <c r="B1190" s="576"/>
      <c r="C1190" s="541">
        <v>132</v>
      </c>
      <c r="D1190" s="541"/>
      <c r="E1190" s="541" t="s">
        <v>513</v>
      </c>
      <c r="F1190" s="541"/>
      <c r="G1190" s="541">
        <v>250</v>
      </c>
      <c r="H1190" s="541" t="s">
        <v>702</v>
      </c>
      <c r="I1190" s="541" t="s">
        <v>516</v>
      </c>
      <c r="J1190" s="739">
        <v>-20700</v>
      </c>
    </row>
    <row r="1191" spans="1:10" s="549" customFormat="1" ht="13.5">
      <c r="A1191" s="554"/>
      <c r="B1191" s="554"/>
      <c r="C1191" s="554">
        <v>132</v>
      </c>
      <c r="D1191" s="554"/>
      <c r="E1191" s="554"/>
      <c r="F1191" s="554"/>
      <c r="G1191" s="554">
        <v>250</v>
      </c>
      <c r="H1191" s="554"/>
      <c r="I1191" s="554"/>
      <c r="J1191" s="740">
        <v>-32900</v>
      </c>
    </row>
    <row r="1192" spans="1:10" ht="13.5">
      <c r="A1192" s="541"/>
      <c r="B1192" s="576"/>
      <c r="C1192" s="541">
        <v>132</v>
      </c>
      <c r="D1192" s="541"/>
      <c r="E1192" s="541" t="s">
        <v>513</v>
      </c>
      <c r="F1192" s="541"/>
      <c r="G1192" s="541">
        <v>240</v>
      </c>
      <c r="H1192" s="541" t="s">
        <v>702</v>
      </c>
      <c r="I1192" s="541" t="s">
        <v>516</v>
      </c>
      <c r="J1192" s="739">
        <v>-4300</v>
      </c>
    </row>
    <row r="1193" spans="1:10" s="549" customFormat="1" ht="13.5">
      <c r="A1193" s="554"/>
      <c r="B1193" s="554"/>
      <c r="C1193" s="554">
        <v>132</v>
      </c>
      <c r="D1193" s="554"/>
      <c r="E1193" s="554"/>
      <c r="F1193" s="554"/>
      <c r="G1193" s="554">
        <v>240</v>
      </c>
      <c r="H1193" s="554"/>
      <c r="I1193" s="554"/>
      <c r="J1193" s="740">
        <v>-4300</v>
      </c>
    </row>
    <row r="1194" spans="1:10" ht="13.5">
      <c r="A1194" s="541"/>
      <c r="B1194" s="576"/>
      <c r="C1194" s="541">
        <v>132</v>
      </c>
      <c r="D1194" s="541"/>
      <c r="E1194" s="541" t="s">
        <v>513</v>
      </c>
      <c r="F1194" s="541"/>
      <c r="G1194" s="541">
        <v>230</v>
      </c>
      <c r="H1194" s="541" t="s">
        <v>736</v>
      </c>
      <c r="I1194" s="541" t="s">
        <v>516</v>
      </c>
      <c r="J1194" s="739">
        <v>-13467</v>
      </c>
    </row>
    <row r="1195" spans="1:10" ht="13.5">
      <c r="A1195" s="541"/>
      <c r="B1195" s="576"/>
      <c r="C1195" s="541">
        <v>132</v>
      </c>
      <c r="D1195" s="541"/>
      <c r="E1195" s="541" t="s">
        <v>513</v>
      </c>
      <c r="F1195" s="541"/>
      <c r="G1195" s="541">
        <v>230</v>
      </c>
      <c r="H1195" s="541" t="s">
        <v>702</v>
      </c>
      <c r="I1195" s="541" t="s">
        <v>516</v>
      </c>
      <c r="J1195" s="739">
        <v>-8100</v>
      </c>
    </row>
    <row r="1196" spans="1:10" s="549" customFormat="1" ht="13.5">
      <c r="A1196" s="554"/>
      <c r="B1196" s="554"/>
      <c r="C1196" s="554">
        <v>132</v>
      </c>
      <c r="D1196" s="554"/>
      <c r="E1196" s="554"/>
      <c r="F1196" s="554"/>
      <c r="G1196" s="554">
        <v>230</v>
      </c>
      <c r="H1196" s="554"/>
      <c r="I1196" s="554"/>
      <c r="J1196" s="740">
        <v>-21567</v>
      </c>
    </row>
    <row r="1197" spans="1:10" ht="13.5">
      <c r="A1197" s="541"/>
      <c r="B1197" s="576"/>
      <c r="C1197" s="541">
        <v>132</v>
      </c>
      <c r="D1197" s="541"/>
      <c r="E1197" s="541" t="s">
        <v>513</v>
      </c>
      <c r="F1197" s="541"/>
      <c r="G1197" s="541">
        <v>220</v>
      </c>
      <c r="H1197" s="541" t="s">
        <v>736</v>
      </c>
      <c r="I1197" s="541" t="s">
        <v>516</v>
      </c>
      <c r="J1197" s="739">
        <v>-17500</v>
      </c>
    </row>
    <row r="1198" spans="1:10" s="549" customFormat="1" ht="13.5">
      <c r="A1198" s="554"/>
      <c r="B1198" s="554"/>
      <c r="C1198" s="554">
        <v>132</v>
      </c>
      <c r="D1198" s="554"/>
      <c r="E1198" s="554"/>
      <c r="F1198" s="554"/>
      <c r="G1198" s="554">
        <v>220</v>
      </c>
      <c r="H1198" s="554"/>
      <c r="I1198" s="554"/>
      <c r="J1198" s="740">
        <v>-17500</v>
      </c>
    </row>
    <row r="1199" spans="1:10" ht="13.5">
      <c r="A1199" s="541"/>
      <c r="B1199" s="576"/>
      <c r="C1199" s="541">
        <v>132</v>
      </c>
      <c r="D1199" s="541"/>
      <c r="E1199" s="541" t="s">
        <v>513</v>
      </c>
      <c r="F1199" s="541"/>
      <c r="G1199" s="541">
        <v>210</v>
      </c>
      <c r="H1199" s="541" t="s">
        <v>702</v>
      </c>
      <c r="I1199" s="541" t="s">
        <v>516</v>
      </c>
      <c r="J1199" s="739">
        <v>-1300</v>
      </c>
    </row>
    <row r="1200" spans="1:10" s="549" customFormat="1" ht="13.5">
      <c r="A1200" s="554"/>
      <c r="B1200" s="554"/>
      <c r="C1200" s="554">
        <v>132</v>
      </c>
      <c r="D1200" s="554"/>
      <c r="E1200" s="554"/>
      <c r="F1200" s="554"/>
      <c r="G1200" s="554">
        <v>210</v>
      </c>
      <c r="H1200" s="554"/>
      <c r="I1200" s="554"/>
      <c r="J1200" s="740">
        <v>-1300</v>
      </c>
    </row>
    <row r="1201" spans="1:10" ht="13.5">
      <c r="A1201" s="541"/>
      <c r="B1201" s="576"/>
      <c r="C1201" s="541">
        <v>132</v>
      </c>
      <c r="D1201" s="541"/>
      <c r="E1201" s="541" t="s">
        <v>513</v>
      </c>
      <c r="F1201" s="541"/>
      <c r="G1201" s="541">
        <v>200</v>
      </c>
      <c r="H1201" s="541" t="s">
        <v>736</v>
      </c>
      <c r="I1201" s="541" t="s">
        <v>516</v>
      </c>
      <c r="J1201" s="739">
        <v>-5920</v>
      </c>
    </row>
    <row r="1202" spans="1:10" ht="13.5">
      <c r="A1202" s="541"/>
      <c r="B1202" s="576"/>
      <c r="C1202" s="541">
        <v>132</v>
      </c>
      <c r="D1202" s="541"/>
      <c r="E1202" s="541" t="s">
        <v>513</v>
      </c>
      <c r="F1202" s="541"/>
      <c r="G1202" s="541">
        <v>200</v>
      </c>
      <c r="H1202" s="541" t="s">
        <v>702</v>
      </c>
      <c r="I1202" s="541" t="s">
        <v>516</v>
      </c>
      <c r="J1202" s="739">
        <v>-8367</v>
      </c>
    </row>
    <row r="1203" spans="1:10" s="549" customFormat="1" ht="13.5">
      <c r="A1203" s="554"/>
      <c r="B1203" s="554"/>
      <c r="C1203" s="554">
        <v>132</v>
      </c>
      <c r="D1203" s="554"/>
      <c r="E1203" s="554"/>
      <c r="F1203" s="554"/>
      <c r="G1203" s="554">
        <v>200</v>
      </c>
      <c r="H1203" s="554"/>
      <c r="I1203" s="554"/>
      <c r="J1203" s="740">
        <v>-14287</v>
      </c>
    </row>
    <row r="1204" spans="1:10" ht="13.5">
      <c r="A1204" s="541"/>
      <c r="B1204" s="576"/>
      <c r="C1204" s="541">
        <v>132</v>
      </c>
      <c r="D1204" s="541"/>
      <c r="E1204" s="541" t="s">
        <v>513</v>
      </c>
      <c r="F1204" s="541"/>
      <c r="G1204" s="541">
        <v>190</v>
      </c>
      <c r="H1204" s="541" t="s">
        <v>736</v>
      </c>
      <c r="I1204" s="541" t="s">
        <v>516</v>
      </c>
      <c r="J1204" s="739">
        <v>-6018</v>
      </c>
    </row>
    <row r="1205" spans="1:10" ht="13.5">
      <c r="A1205" s="541"/>
      <c r="B1205" s="576"/>
      <c r="C1205" s="541">
        <v>132</v>
      </c>
      <c r="D1205" s="541"/>
      <c r="E1205" s="541" t="s">
        <v>513</v>
      </c>
      <c r="F1205" s="541"/>
      <c r="G1205" s="541">
        <v>190</v>
      </c>
      <c r="H1205" s="541" t="s">
        <v>702</v>
      </c>
      <c r="I1205" s="541" t="s">
        <v>516</v>
      </c>
      <c r="J1205" s="739">
        <v>-700</v>
      </c>
    </row>
    <row r="1206" spans="1:10" s="549" customFormat="1" ht="13.5">
      <c r="A1206" s="554"/>
      <c r="B1206" s="554"/>
      <c r="C1206" s="554">
        <v>132</v>
      </c>
      <c r="D1206" s="554"/>
      <c r="E1206" s="554"/>
      <c r="F1206" s="554"/>
      <c r="G1206" s="554">
        <v>190</v>
      </c>
      <c r="H1206" s="554"/>
      <c r="I1206" s="554"/>
      <c r="J1206" s="740">
        <v>-6718</v>
      </c>
    </row>
    <row r="1207" spans="1:10" ht="13.5">
      <c r="A1207" s="541"/>
      <c r="B1207" s="576"/>
      <c r="C1207" s="541">
        <v>132</v>
      </c>
      <c r="D1207" s="541"/>
      <c r="E1207" s="541" t="s">
        <v>513</v>
      </c>
      <c r="F1207" s="541"/>
      <c r="G1207" s="541">
        <v>180</v>
      </c>
      <c r="H1207" s="541" t="s">
        <v>702</v>
      </c>
      <c r="I1207" s="541" t="s">
        <v>516</v>
      </c>
      <c r="J1207" s="739">
        <v>-5200</v>
      </c>
    </row>
    <row r="1208" spans="1:10" s="549" customFormat="1" ht="13.5">
      <c r="A1208" s="554"/>
      <c r="B1208" s="554"/>
      <c r="C1208" s="554">
        <v>132</v>
      </c>
      <c r="D1208" s="554"/>
      <c r="E1208" s="554"/>
      <c r="F1208" s="554"/>
      <c r="G1208" s="554">
        <v>180</v>
      </c>
      <c r="H1208" s="554"/>
      <c r="I1208" s="554"/>
      <c r="J1208" s="740">
        <v>-5200</v>
      </c>
    </row>
    <row r="1209" spans="1:10" ht="13.5">
      <c r="A1209" s="541"/>
      <c r="B1209" s="576"/>
      <c r="C1209" s="541">
        <v>132</v>
      </c>
      <c r="D1209" s="541"/>
      <c r="E1209" s="541" t="s">
        <v>513</v>
      </c>
      <c r="F1209" s="541"/>
      <c r="G1209" s="541">
        <v>170</v>
      </c>
      <c r="H1209" s="541" t="s">
        <v>736</v>
      </c>
      <c r="I1209" s="541" t="s">
        <v>516</v>
      </c>
      <c r="J1209" s="739">
        <v>-2396</v>
      </c>
    </row>
    <row r="1210" spans="1:10" ht="13.5">
      <c r="A1210" s="541"/>
      <c r="B1210" s="576"/>
      <c r="C1210" s="541">
        <v>132</v>
      </c>
      <c r="D1210" s="541"/>
      <c r="E1210" s="541" t="s">
        <v>513</v>
      </c>
      <c r="F1210" s="541"/>
      <c r="G1210" s="541">
        <v>170</v>
      </c>
      <c r="H1210" s="541" t="s">
        <v>702</v>
      </c>
      <c r="I1210" s="541" t="s">
        <v>516</v>
      </c>
      <c r="J1210" s="739">
        <v>-6880</v>
      </c>
    </row>
    <row r="1211" spans="1:10" s="549" customFormat="1" ht="13.5">
      <c r="A1211" s="554"/>
      <c r="B1211" s="554"/>
      <c r="C1211" s="554">
        <v>132</v>
      </c>
      <c r="D1211" s="554"/>
      <c r="E1211" s="554"/>
      <c r="F1211" s="554"/>
      <c r="G1211" s="554">
        <v>170</v>
      </c>
      <c r="H1211" s="554"/>
      <c r="I1211" s="554"/>
      <c r="J1211" s="740">
        <v>-9276</v>
      </c>
    </row>
    <row r="1212" spans="1:10" ht="13.5">
      <c r="A1212" s="541"/>
      <c r="B1212" s="576"/>
      <c r="C1212" s="541">
        <v>132</v>
      </c>
      <c r="D1212" s="541"/>
      <c r="E1212" s="541" t="s">
        <v>513</v>
      </c>
      <c r="F1212" s="541"/>
      <c r="G1212" s="541">
        <v>160</v>
      </c>
      <c r="H1212" s="541" t="s">
        <v>736</v>
      </c>
      <c r="I1212" s="541" t="s">
        <v>516</v>
      </c>
      <c r="J1212" s="739">
        <v>-6650</v>
      </c>
    </row>
    <row r="1213" spans="1:10" ht="13.5">
      <c r="A1213" s="541"/>
      <c r="B1213" s="576"/>
      <c r="C1213" s="541">
        <v>132</v>
      </c>
      <c r="D1213" s="541"/>
      <c r="E1213" s="541" t="s">
        <v>513</v>
      </c>
      <c r="F1213" s="541"/>
      <c r="G1213" s="541">
        <v>160</v>
      </c>
      <c r="H1213" s="541" t="s">
        <v>702</v>
      </c>
      <c r="I1213" s="541" t="s">
        <v>516</v>
      </c>
      <c r="J1213" s="739">
        <v>-3600</v>
      </c>
    </row>
    <row r="1214" spans="1:10" s="549" customFormat="1" ht="13.5">
      <c r="A1214" s="554"/>
      <c r="B1214" s="554"/>
      <c r="C1214" s="554">
        <v>132</v>
      </c>
      <c r="D1214" s="554"/>
      <c r="E1214" s="554"/>
      <c r="F1214" s="554"/>
      <c r="G1214" s="554">
        <v>160</v>
      </c>
      <c r="H1214" s="554"/>
      <c r="I1214" s="554"/>
      <c r="J1214" s="740">
        <v>-10250</v>
      </c>
    </row>
    <row r="1215" spans="1:10" ht="13.5">
      <c r="A1215" s="541"/>
      <c r="B1215" s="576"/>
      <c r="C1215" s="541">
        <v>132</v>
      </c>
      <c r="D1215" s="541"/>
      <c r="E1215" s="541" t="s">
        <v>513</v>
      </c>
      <c r="F1215" s="541"/>
      <c r="G1215" s="541">
        <v>150</v>
      </c>
      <c r="H1215" s="541" t="s">
        <v>736</v>
      </c>
      <c r="I1215" s="541" t="s">
        <v>516</v>
      </c>
      <c r="J1215" s="739">
        <v>-4620</v>
      </c>
    </row>
    <row r="1216" spans="1:10" ht="13.5">
      <c r="A1216" s="541"/>
      <c r="B1216" s="576"/>
      <c r="C1216" s="541">
        <v>132</v>
      </c>
      <c r="D1216" s="541"/>
      <c r="E1216" s="541" t="s">
        <v>513</v>
      </c>
      <c r="F1216" s="541"/>
      <c r="G1216" s="541">
        <v>150</v>
      </c>
      <c r="H1216" s="541" t="s">
        <v>702</v>
      </c>
      <c r="I1216" s="541" t="s">
        <v>516</v>
      </c>
      <c r="J1216" s="739">
        <v>-5840</v>
      </c>
    </row>
    <row r="1217" spans="1:10" s="549" customFormat="1" ht="13.5">
      <c r="A1217" s="554"/>
      <c r="B1217" s="554"/>
      <c r="C1217" s="554">
        <v>132</v>
      </c>
      <c r="D1217" s="554"/>
      <c r="E1217" s="554"/>
      <c r="F1217" s="554"/>
      <c r="G1217" s="554">
        <v>150</v>
      </c>
      <c r="H1217" s="554"/>
      <c r="I1217" s="554"/>
      <c r="J1217" s="740">
        <v>-10460</v>
      </c>
    </row>
    <row r="1218" spans="1:10" ht="13.5">
      <c r="A1218" s="541"/>
      <c r="B1218" s="576"/>
      <c r="C1218" s="541">
        <v>132</v>
      </c>
      <c r="D1218" s="541"/>
      <c r="E1218" s="541" t="s">
        <v>513</v>
      </c>
      <c r="F1218" s="541"/>
      <c r="G1218" s="541">
        <v>140</v>
      </c>
      <c r="H1218" s="541" t="s">
        <v>736</v>
      </c>
      <c r="I1218" s="541" t="s">
        <v>516</v>
      </c>
      <c r="J1218" s="739">
        <v>-1714</v>
      </c>
    </row>
    <row r="1219" spans="1:10" ht="13.5">
      <c r="A1219" s="541"/>
      <c r="B1219" s="576"/>
      <c r="C1219" s="541">
        <v>132</v>
      </c>
      <c r="D1219" s="541"/>
      <c r="E1219" s="541" t="s">
        <v>513</v>
      </c>
      <c r="F1219" s="541"/>
      <c r="G1219" s="541">
        <v>140</v>
      </c>
      <c r="H1219" s="541" t="s">
        <v>702</v>
      </c>
      <c r="I1219" s="541" t="s">
        <v>516</v>
      </c>
      <c r="J1219" s="739">
        <v>-3330</v>
      </c>
    </row>
    <row r="1220" spans="1:10" s="549" customFormat="1" ht="13.5">
      <c r="A1220" s="554"/>
      <c r="B1220" s="554"/>
      <c r="C1220" s="554">
        <v>132</v>
      </c>
      <c r="D1220" s="554"/>
      <c r="E1220" s="554"/>
      <c r="F1220" s="554"/>
      <c r="G1220" s="554">
        <v>140</v>
      </c>
      <c r="H1220" s="554"/>
      <c r="I1220" s="554"/>
      <c r="J1220" s="740">
        <v>-5044</v>
      </c>
    </row>
    <row r="1221" spans="1:10" ht="13.5">
      <c r="A1221" s="541"/>
      <c r="B1221" s="576"/>
      <c r="C1221" s="541">
        <v>132</v>
      </c>
      <c r="D1221" s="541"/>
      <c r="E1221" s="541" t="s">
        <v>513</v>
      </c>
      <c r="F1221" s="541"/>
      <c r="G1221" s="541">
        <v>120</v>
      </c>
      <c r="H1221" s="541" t="s">
        <v>736</v>
      </c>
      <c r="I1221" s="541" t="s">
        <v>516</v>
      </c>
      <c r="J1221" s="739">
        <v>-70</v>
      </c>
    </row>
    <row r="1222" spans="1:10" ht="13.5">
      <c r="A1222" s="541"/>
      <c r="B1222" s="576"/>
      <c r="C1222" s="541">
        <v>132</v>
      </c>
      <c r="D1222" s="541"/>
      <c r="E1222" s="541" t="s">
        <v>513</v>
      </c>
      <c r="F1222" s="541"/>
      <c r="G1222" s="541">
        <v>120</v>
      </c>
      <c r="H1222" s="541" t="s">
        <v>702</v>
      </c>
      <c r="I1222" s="541" t="s">
        <v>516</v>
      </c>
      <c r="J1222" s="739">
        <v>-300</v>
      </c>
    </row>
    <row r="1223" spans="1:10" s="549" customFormat="1" ht="13.5">
      <c r="A1223" s="554"/>
      <c r="B1223" s="554"/>
      <c r="C1223" s="554">
        <v>132</v>
      </c>
      <c r="D1223" s="554"/>
      <c r="E1223" s="554"/>
      <c r="F1223" s="554"/>
      <c r="G1223" s="554">
        <v>120</v>
      </c>
      <c r="H1223" s="554"/>
      <c r="I1223" s="554"/>
      <c r="J1223" s="740">
        <v>-370</v>
      </c>
    </row>
    <row r="1224" spans="1:10" ht="13.5">
      <c r="A1224" s="541"/>
      <c r="B1224" s="576"/>
      <c r="C1224" s="541">
        <v>132</v>
      </c>
      <c r="D1224" s="541"/>
      <c r="E1224" s="541" t="s">
        <v>513</v>
      </c>
      <c r="F1224" s="541"/>
      <c r="G1224" s="550" t="s">
        <v>615</v>
      </c>
      <c r="H1224" s="541" t="s">
        <v>736</v>
      </c>
      <c r="I1224" s="541" t="s">
        <v>516</v>
      </c>
      <c r="J1224" s="739">
        <v>-10758</v>
      </c>
    </row>
    <row r="1225" spans="1:10" ht="13.5">
      <c r="A1225" s="541"/>
      <c r="B1225" s="576"/>
      <c r="C1225" s="541">
        <v>132</v>
      </c>
      <c r="D1225" s="541"/>
      <c r="E1225" s="541" t="s">
        <v>513</v>
      </c>
      <c r="F1225" s="541"/>
      <c r="G1225" s="550" t="s">
        <v>615</v>
      </c>
      <c r="H1225" s="541" t="s">
        <v>702</v>
      </c>
      <c r="I1225" s="541" t="s">
        <v>516</v>
      </c>
      <c r="J1225" s="739">
        <v>-10640</v>
      </c>
    </row>
    <row r="1226" spans="1:10" s="549" customFormat="1" ht="13.5">
      <c r="A1226" s="554"/>
      <c r="B1226" s="554"/>
      <c r="C1226" s="554">
        <v>132</v>
      </c>
      <c r="D1226" s="554"/>
      <c r="E1226" s="554"/>
      <c r="F1226" s="554"/>
      <c r="G1226" s="746" t="s">
        <v>615</v>
      </c>
      <c r="H1226" s="554"/>
      <c r="I1226" s="554"/>
      <c r="J1226" s="740">
        <v>-21398</v>
      </c>
    </row>
    <row r="1227" spans="1:10" ht="13.5">
      <c r="A1227" s="541"/>
      <c r="B1227" s="576"/>
      <c r="C1227" s="541">
        <v>132</v>
      </c>
      <c r="D1227" s="541"/>
      <c r="E1227" s="541" t="s">
        <v>513</v>
      </c>
      <c r="F1227" s="541"/>
      <c r="G1227" s="550" t="s">
        <v>705</v>
      </c>
      <c r="H1227" s="541" t="s">
        <v>702</v>
      </c>
      <c r="I1227" s="541" t="s">
        <v>516</v>
      </c>
      <c r="J1227" s="739">
        <v>-9807</v>
      </c>
    </row>
    <row r="1228" spans="1:10" s="549" customFormat="1" ht="13.5">
      <c r="A1228" s="554"/>
      <c r="B1228" s="554"/>
      <c r="C1228" s="554">
        <v>132</v>
      </c>
      <c r="D1228" s="554"/>
      <c r="E1228" s="554"/>
      <c r="F1228" s="554"/>
      <c r="G1228" s="746" t="s">
        <v>705</v>
      </c>
      <c r="H1228" s="554"/>
      <c r="I1228" s="554"/>
      <c r="J1228" s="740">
        <v>-9807</v>
      </c>
    </row>
    <row r="1229" spans="1:10" ht="13.5">
      <c r="A1229" s="541"/>
      <c r="B1229" s="576"/>
      <c r="C1229" s="541">
        <v>132</v>
      </c>
      <c r="D1229" s="541"/>
      <c r="E1229" s="541" t="s">
        <v>513</v>
      </c>
      <c r="F1229" s="541"/>
      <c r="G1229" s="550" t="s">
        <v>632</v>
      </c>
      <c r="H1229" s="541" t="s">
        <v>736</v>
      </c>
      <c r="I1229" s="541" t="s">
        <v>516</v>
      </c>
      <c r="J1229" s="739">
        <v>-3000</v>
      </c>
    </row>
    <row r="1230" spans="1:10" ht="13.5">
      <c r="A1230" s="541"/>
      <c r="B1230" s="576"/>
      <c r="C1230" s="541">
        <v>132</v>
      </c>
      <c r="D1230" s="541"/>
      <c r="E1230" s="541" t="s">
        <v>513</v>
      </c>
      <c r="F1230" s="541"/>
      <c r="G1230" s="550" t="s">
        <v>632</v>
      </c>
      <c r="H1230" s="541" t="s">
        <v>702</v>
      </c>
      <c r="I1230" s="541" t="s">
        <v>516</v>
      </c>
      <c r="J1230" s="739">
        <v>-6000</v>
      </c>
    </row>
    <row r="1231" spans="1:10" s="549" customFormat="1" ht="13.5">
      <c r="A1231" s="554"/>
      <c r="B1231" s="554"/>
      <c r="C1231" s="554">
        <v>132</v>
      </c>
      <c r="D1231" s="554"/>
      <c r="E1231" s="554"/>
      <c r="F1231" s="554"/>
      <c r="G1231" s="746" t="s">
        <v>632</v>
      </c>
      <c r="H1231" s="554"/>
      <c r="I1231" s="554"/>
      <c r="J1231" s="740">
        <v>-9000</v>
      </c>
    </row>
    <row r="1232" spans="1:10" ht="13.5">
      <c r="A1232" s="541"/>
      <c r="B1232" s="576"/>
      <c r="C1232" s="541">
        <v>132</v>
      </c>
      <c r="D1232" s="541"/>
      <c r="E1232" s="541" t="s">
        <v>513</v>
      </c>
      <c r="F1232" s="541"/>
      <c r="G1232" s="550" t="s">
        <v>616</v>
      </c>
      <c r="H1232" s="541" t="s">
        <v>736</v>
      </c>
      <c r="I1232" s="541" t="s">
        <v>516</v>
      </c>
      <c r="J1232" s="739">
        <v>-8525</v>
      </c>
    </row>
    <row r="1233" spans="1:10" ht="13.5">
      <c r="A1233" s="541"/>
      <c r="B1233" s="576"/>
      <c r="C1233" s="541">
        <v>132</v>
      </c>
      <c r="D1233" s="541"/>
      <c r="E1233" s="541" t="s">
        <v>513</v>
      </c>
      <c r="F1233" s="541"/>
      <c r="G1233" s="550" t="s">
        <v>616</v>
      </c>
      <c r="H1233" s="541" t="s">
        <v>702</v>
      </c>
      <c r="I1233" s="541" t="s">
        <v>516</v>
      </c>
      <c r="J1233" s="739">
        <v>-2015</v>
      </c>
    </row>
    <row r="1234" spans="1:10" s="549" customFormat="1" ht="13.5">
      <c r="A1234" s="554"/>
      <c r="B1234" s="554"/>
      <c r="C1234" s="554">
        <v>132</v>
      </c>
      <c r="D1234" s="554"/>
      <c r="E1234" s="554"/>
      <c r="F1234" s="554"/>
      <c r="G1234" s="746" t="s">
        <v>616</v>
      </c>
      <c r="H1234" s="554"/>
      <c r="I1234" s="554"/>
      <c r="J1234" s="740">
        <v>-10540</v>
      </c>
    </row>
    <row r="1235" spans="1:10" ht="13.5">
      <c r="A1235" s="541"/>
      <c r="B1235" s="576"/>
      <c r="C1235" s="541">
        <v>132</v>
      </c>
      <c r="D1235" s="541"/>
      <c r="E1235" s="541" t="s">
        <v>513</v>
      </c>
      <c r="F1235" s="541"/>
      <c r="G1235" s="550" t="s">
        <v>631</v>
      </c>
      <c r="H1235" s="541" t="s">
        <v>736</v>
      </c>
      <c r="I1235" s="541" t="s">
        <v>516</v>
      </c>
      <c r="J1235" s="739">
        <v>-1703</v>
      </c>
    </row>
    <row r="1236" spans="1:10" ht="13.5">
      <c r="A1236" s="541"/>
      <c r="B1236" s="576"/>
      <c r="C1236" s="541">
        <v>132</v>
      </c>
      <c r="D1236" s="541"/>
      <c r="E1236" s="541" t="s">
        <v>513</v>
      </c>
      <c r="F1236" s="541"/>
      <c r="G1236" s="550" t="s">
        <v>631</v>
      </c>
      <c r="H1236" s="541" t="s">
        <v>702</v>
      </c>
      <c r="I1236" s="541" t="s">
        <v>516</v>
      </c>
      <c r="J1236" s="739">
        <v>-4500</v>
      </c>
    </row>
    <row r="1237" spans="1:10" s="549" customFormat="1" ht="13.5">
      <c r="A1237" s="554"/>
      <c r="B1237" s="554"/>
      <c r="C1237" s="554">
        <v>132</v>
      </c>
      <c r="D1237" s="554"/>
      <c r="E1237" s="554"/>
      <c r="F1237" s="554"/>
      <c r="G1237" s="746" t="s">
        <v>631</v>
      </c>
      <c r="H1237" s="554"/>
      <c r="I1237" s="554"/>
      <c r="J1237" s="740">
        <v>-6203</v>
      </c>
    </row>
    <row r="1238" spans="1:10" ht="13.5">
      <c r="A1238" s="541"/>
      <c r="B1238" s="576"/>
      <c r="C1238" s="541">
        <v>132</v>
      </c>
      <c r="D1238" s="541"/>
      <c r="E1238" s="541" t="s">
        <v>513</v>
      </c>
      <c r="F1238" s="541"/>
      <c r="G1238" s="550" t="s">
        <v>617</v>
      </c>
      <c r="H1238" s="541" t="s">
        <v>702</v>
      </c>
      <c r="I1238" s="541" t="s">
        <v>516</v>
      </c>
      <c r="J1238" s="739">
        <v>-1677</v>
      </c>
    </row>
    <row r="1239" spans="1:10" ht="13.5">
      <c r="A1239" s="741" t="s">
        <v>818</v>
      </c>
      <c r="B1239" s="744"/>
      <c r="C1239" s="547">
        <v>132</v>
      </c>
      <c r="D1239" s="547"/>
      <c r="E1239" s="547"/>
      <c r="F1239" s="547"/>
      <c r="G1239" s="551" t="s">
        <v>617</v>
      </c>
      <c r="H1239" s="547"/>
      <c r="I1239" s="547"/>
      <c r="J1239" s="742">
        <v>-1677</v>
      </c>
    </row>
    <row r="1240" spans="1:10" ht="12.75">
      <c r="A1240" s="582"/>
      <c r="B1240" s="582"/>
      <c r="C1240" s="582"/>
      <c r="D1240" s="582"/>
      <c r="E1240" s="582"/>
      <c r="F1240" s="582"/>
      <c r="G1240" s="582"/>
      <c r="H1240" s="582"/>
      <c r="I1240" s="582"/>
      <c r="J1240" s="743"/>
    </row>
    <row r="1241" spans="1:10" ht="13.5">
      <c r="A1241" s="541">
        <v>744</v>
      </c>
      <c r="B1241" s="576">
        <v>41639</v>
      </c>
      <c r="C1241" s="541">
        <v>137</v>
      </c>
      <c r="D1241" s="541" t="s">
        <v>819</v>
      </c>
      <c r="E1241" s="541" t="s">
        <v>513</v>
      </c>
      <c r="F1241" s="543" t="s">
        <v>514</v>
      </c>
      <c r="G1241" s="541">
        <v>35</v>
      </c>
      <c r="H1241" s="541" t="s">
        <v>655</v>
      </c>
      <c r="I1241" s="541" t="s">
        <v>516</v>
      </c>
      <c r="J1241" s="739">
        <v>-1250</v>
      </c>
    </row>
    <row r="1242" spans="1:10" ht="13.5">
      <c r="A1242" s="541"/>
      <c r="B1242" s="576"/>
      <c r="C1242" s="541"/>
      <c r="D1242" s="541"/>
      <c r="E1242" s="541" t="s">
        <v>513</v>
      </c>
      <c r="F1242" s="654" t="s">
        <v>518</v>
      </c>
      <c r="G1242" s="541">
        <v>35</v>
      </c>
      <c r="H1242" s="541" t="s">
        <v>820</v>
      </c>
      <c r="I1242" s="541" t="s">
        <v>516</v>
      </c>
      <c r="J1242" s="739">
        <v>-500</v>
      </c>
    </row>
    <row r="1243" spans="1:10" ht="13.5">
      <c r="A1243" s="541"/>
      <c r="B1243" s="576"/>
      <c r="C1243" s="541"/>
      <c r="D1243" s="541"/>
      <c r="E1243" s="541" t="s">
        <v>513</v>
      </c>
      <c r="F1243" s="541"/>
      <c r="G1243" s="541">
        <v>35</v>
      </c>
      <c r="H1243" s="541" t="s">
        <v>531</v>
      </c>
      <c r="I1243" s="541" t="s">
        <v>516</v>
      </c>
      <c r="J1243" s="739">
        <v>-300</v>
      </c>
    </row>
    <row r="1244" spans="1:10" ht="13.5">
      <c r="A1244" s="541"/>
      <c r="B1244" s="576"/>
      <c r="C1244" s="541">
        <v>137</v>
      </c>
      <c r="D1244" s="541"/>
      <c r="E1244" s="541" t="s">
        <v>517</v>
      </c>
      <c r="F1244" s="541"/>
      <c r="G1244" s="541">
        <v>35</v>
      </c>
      <c r="H1244" s="541" t="s">
        <v>731</v>
      </c>
      <c r="I1244" s="541" t="s">
        <v>516</v>
      </c>
      <c r="J1244" s="739">
        <v>1000</v>
      </c>
    </row>
    <row r="1245" spans="1:10" ht="13.5">
      <c r="A1245" s="541"/>
      <c r="B1245" s="576"/>
      <c r="C1245" s="541"/>
      <c r="D1245" s="541"/>
      <c r="E1245" s="541" t="s">
        <v>517</v>
      </c>
      <c r="F1245" s="541"/>
      <c r="G1245" s="541">
        <v>35</v>
      </c>
      <c r="H1245" s="541" t="s">
        <v>656</v>
      </c>
      <c r="I1245" s="541" t="s">
        <v>516</v>
      </c>
      <c r="J1245" s="739">
        <v>900</v>
      </c>
    </row>
    <row r="1246" spans="1:10" ht="13.5">
      <c r="A1246" s="541"/>
      <c r="B1246" s="576"/>
      <c r="C1246" s="541"/>
      <c r="D1246" s="541"/>
      <c r="E1246" s="541" t="s">
        <v>517</v>
      </c>
      <c r="F1246" s="541"/>
      <c r="G1246" s="541">
        <v>35</v>
      </c>
      <c r="H1246" s="541" t="s">
        <v>795</v>
      </c>
      <c r="I1246" s="541" t="s">
        <v>516</v>
      </c>
      <c r="J1246" s="739">
        <v>100</v>
      </c>
    </row>
    <row r="1247" spans="1:10" ht="13.5">
      <c r="A1247" s="541"/>
      <c r="B1247" s="576"/>
      <c r="C1247" s="541"/>
      <c r="D1247" s="541"/>
      <c r="E1247" s="541" t="s">
        <v>517</v>
      </c>
      <c r="F1247" s="541"/>
      <c r="G1247" s="541">
        <v>35</v>
      </c>
      <c r="H1247" s="541" t="s">
        <v>624</v>
      </c>
      <c r="I1247" s="541" t="s">
        <v>516</v>
      </c>
      <c r="J1247" s="739">
        <v>50</v>
      </c>
    </row>
    <row r="1248" spans="1:10" s="549" customFormat="1" ht="13.5">
      <c r="A1248" s="554"/>
      <c r="B1248" s="554"/>
      <c r="C1248" s="554">
        <v>137</v>
      </c>
      <c r="D1248" s="554"/>
      <c r="E1248" s="554"/>
      <c r="F1248" s="554"/>
      <c r="G1248" s="554">
        <v>35</v>
      </c>
      <c r="H1248" s="554"/>
      <c r="I1248" s="554"/>
      <c r="J1248" s="740">
        <v>0</v>
      </c>
    </row>
    <row r="1249" spans="1:10" ht="13.5">
      <c r="A1249" s="541"/>
      <c r="B1249" s="576"/>
      <c r="C1249" s="541">
        <v>136</v>
      </c>
      <c r="D1249" s="541"/>
      <c r="E1249" s="541" t="s">
        <v>513</v>
      </c>
      <c r="F1249" s="541"/>
      <c r="G1249" s="541">
        <v>35</v>
      </c>
      <c r="H1249" s="541" t="s">
        <v>655</v>
      </c>
      <c r="I1249" s="541" t="s">
        <v>516</v>
      </c>
      <c r="J1249" s="739">
        <v>-2050</v>
      </c>
    </row>
    <row r="1250" spans="1:10" ht="13.5">
      <c r="A1250" s="541"/>
      <c r="B1250" s="576"/>
      <c r="C1250" s="541">
        <v>136</v>
      </c>
      <c r="D1250" s="541"/>
      <c r="E1250" s="541" t="s">
        <v>517</v>
      </c>
      <c r="F1250" s="541"/>
      <c r="G1250" s="541">
        <v>35</v>
      </c>
      <c r="H1250" s="541" t="s">
        <v>656</v>
      </c>
      <c r="I1250" s="541" t="s">
        <v>516</v>
      </c>
      <c r="J1250" s="739">
        <v>2000</v>
      </c>
    </row>
    <row r="1251" spans="1:10" ht="13.5">
      <c r="A1251" s="541"/>
      <c r="B1251" s="576"/>
      <c r="C1251" s="541"/>
      <c r="D1251" s="541"/>
      <c r="E1251" s="541" t="s">
        <v>517</v>
      </c>
      <c r="F1251" s="541"/>
      <c r="G1251" s="541">
        <v>35</v>
      </c>
      <c r="H1251" s="541" t="s">
        <v>624</v>
      </c>
      <c r="I1251" s="541" t="s">
        <v>516</v>
      </c>
      <c r="J1251" s="739">
        <v>50</v>
      </c>
    </row>
    <row r="1252" spans="1:10" ht="13.5">
      <c r="A1252" s="741" t="s">
        <v>821</v>
      </c>
      <c r="B1252" s="744"/>
      <c r="C1252" s="547">
        <v>136</v>
      </c>
      <c r="D1252" s="547"/>
      <c r="E1252" s="547"/>
      <c r="F1252" s="547"/>
      <c r="G1252" s="547">
        <v>35</v>
      </c>
      <c r="H1252" s="547"/>
      <c r="I1252" s="547"/>
      <c r="J1252" s="742">
        <v>0</v>
      </c>
    </row>
    <row r="1253" spans="1:10" ht="12.75">
      <c r="A1253" s="582"/>
      <c r="B1253" s="582"/>
      <c r="C1253" s="582"/>
      <c r="D1253" s="582"/>
      <c r="E1253" s="582"/>
      <c r="F1253" s="582"/>
      <c r="G1253" s="582"/>
      <c r="H1253" s="582"/>
      <c r="I1253" s="582"/>
      <c r="J1253" s="743"/>
    </row>
    <row r="1254" spans="1:10" ht="13.5">
      <c r="A1254" s="541">
        <v>751</v>
      </c>
      <c r="B1254" s="576">
        <v>41638</v>
      </c>
      <c r="C1254" s="541">
        <v>132</v>
      </c>
      <c r="D1254" s="541" t="s">
        <v>822</v>
      </c>
      <c r="E1254" s="541" t="s">
        <v>513</v>
      </c>
      <c r="F1254" s="543" t="s">
        <v>514</v>
      </c>
      <c r="G1254" s="541">
        <v>200</v>
      </c>
      <c r="H1254" s="541" t="s">
        <v>736</v>
      </c>
      <c r="I1254" s="541" t="s">
        <v>516</v>
      </c>
      <c r="J1254" s="739">
        <v>-208</v>
      </c>
    </row>
    <row r="1255" spans="1:10" ht="13.5">
      <c r="A1255" s="541"/>
      <c r="B1255" s="576"/>
      <c r="C1255" s="541">
        <v>132</v>
      </c>
      <c r="D1255" s="541"/>
      <c r="E1255" s="541" t="s">
        <v>517</v>
      </c>
      <c r="F1255" s="654" t="s">
        <v>518</v>
      </c>
      <c r="G1255" s="541">
        <v>200</v>
      </c>
      <c r="H1255" s="541" t="s">
        <v>702</v>
      </c>
      <c r="I1255" s="541" t="s">
        <v>516</v>
      </c>
      <c r="J1255" s="739">
        <v>208</v>
      </c>
    </row>
    <row r="1256" spans="1:10" ht="13.5">
      <c r="A1256" s="741" t="s">
        <v>823</v>
      </c>
      <c r="B1256" s="744"/>
      <c r="C1256" s="547">
        <v>132</v>
      </c>
      <c r="D1256" s="547"/>
      <c r="E1256" s="547"/>
      <c r="F1256" s="547"/>
      <c r="G1256" s="547">
        <v>200</v>
      </c>
      <c r="H1256" s="547"/>
      <c r="I1256" s="547"/>
      <c r="J1256" s="742">
        <v>0</v>
      </c>
    </row>
    <row r="1257" spans="1:10" ht="12.75">
      <c r="A1257" s="582"/>
      <c r="B1257" s="582"/>
      <c r="C1257" s="582"/>
      <c r="D1257" s="582"/>
      <c r="E1257" s="582"/>
      <c r="F1257" s="582"/>
      <c r="G1257" s="582"/>
      <c r="H1257" s="582"/>
      <c r="I1257" s="582"/>
      <c r="J1257" s="743"/>
    </row>
    <row r="1258" spans="1:10" ht="13.5">
      <c r="A1258" s="541">
        <v>752</v>
      </c>
      <c r="B1258" s="576">
        <v>41638</v>
      </c>
      <c r="C1258" s="541">
        <v>132</v>
      </c>
      <c r="D1258" s="541" t="s">
        <v>824</v>
      </c>
      <c r="E1258" s="541" t="s">
        <v>517</v>
      </c>
      <c r="F1258" s="543" t="s">
        <v>514</v>
      </c>
      <c r="G1258" s="541">
        <v>43</v>
      </c>
      <c r="H1258" s="541" t="s">
        <v>640</v>
      </c>
      <c r="I1258" s="541" t="s">
        <v>644</v>
      </c>
      <c r="J1258" s="739">
        <v>779</v>
      </c>
    </row>
    <row r="1259" spans="1:10" ht="13.5">
      <c r="A1259" s="541"/>
      <c r="B1259" s="576"/>
      <c r="C1259" s="541">
        <v>132</v>
      </c>
      <c r="D1259" s="541"/>
      <c r="E1259" s="541" t="s">
        <v>513</v>
      </c>
      <c r="F1259" s="654" t="s">
        <v>518</v>
      </c>
      <c r="G1259" s="541">
        <v>43</v>
      </c>
      <c r="H1259" s="541" t="s">
        <v>640</v>
      </c>
      <c r="I1259" s="541" t="s">
        <v>641</v>
      </c>
      <c r="J1259" s="739">
        <v>-894006</v>
      </c>
    </row>
    <row r="1260" spans="1:10" ht="13.5">
      <c r="A1260" s="541"/>
      <c r="B1260" s="576"/>
      <c r="C1260" s="541"/>
      <c r="D1260" s="541"/>
      <c r="E1260" s="541" t="s">
        <v>513</v>
      </c>
      <c r="F1260" s="541"/>
      <c r="G1260" s="541">
        <v>43</v>
      </c>
      <c r="H1260" s="541" t="s">
        <v>642</v>
      </c>
      <c r="I1260" s="541" t="s">
        <v>643</v>
      </c>
      <c r="J1260" s="739">
        <v>-251063</v>
      </c>
    </row>
    <row r="1261" spans="1:10" ht="13.5">
      <c r="A1261" s="541"/>
      <c r="B1261" s="576"/>
      <c r="C1261" s="541"/>
      <c r="D1261" s="541"/>
      <c r="E1261" s="541" t="s">
        <v>513</v>
      </c>
      <c r="F1261" s="541"/>
      <c r="G1261" s="541">
        <v>43</v>
      </c>
      <c r="H1261" s="541" t="s">
        <v>642</v>
      </c>
      <c r="I1261" s="541" t="s">
        <v>644</v>
      </c>
      <c r="J1261" s="739">
        <v>-52202</v>
      </c>
    </row>
    <row r="1262" spans="1:10" ht="13.5">
      <c r="A1262" s="541"/>
      <c r="B1262" s="576"/>
      <c r="C1262" s="541">
        <v>132</v>
      </c>
      <c r="D1262" s="541"/>
      <c r="E1262" s="541" t="s">
        <v>517</v>
      </c>
      <c r="F1262" s="541"/>
      <c r="G1262" s="541">
        <v>43</v>
      </c>
      <c r="H1262" s="541" t="s">
        <v>642</v>
      </c>
      <c r="I1262" s="541" t="s">
        <v>641</v>
      </c>
      <c r="J1262" s="739">
        <v>912077</v>
      </c>
    </row>
    <row r="1263" spans="1:10" ht="13.5">
      <c r="A1263" s="541"/>
      <c r="B1263" s="576"/>
      <c r="C1263" s="541">
        <v>132</v>
      </c>
      <c r="D1263" s="541"/>
      <c r="E1263" s="541" t="s">
        <v>513</v>
      </c>
      <c r="F1263" s="541"/>
      <c r="G1263" s="541">
        <v>43</v>
      </c>
      <c r="H1263" s="541" t="s">
        <v>774</v>
      </c>
      <c r="I1263" s="541" t="s">
        <v>516</v>
      </c>
      <c r="J1263" s="739">
        <v>-24000</v>
      </c>
    </row>
    <row r="1264" spans="1:10" ht="13.5">
      <c r="A1264" s="541"/>
      <c r="B1264" s="576"/>
      <c r="C1264" s="541"/>
      <c r="D1264" s="541"/>
      <c r="E1264" s="541" t="s">
        <v>513</v>
      </c>
      <c r="F1264" s="541"/>
      <c r="G1264" s="541">
        <v>43</v>
      </c>
      <c r="H1264" s="541" t="s">
        <v>676</v>
      </c>
      <c r="I1264" s="541" t="s">
        <v>516</v>
      </c>
      <c r="J1264" s="739">
        <v>-7000</v>
      </c>
    </row>
    <row r="1265" spans="1:10" ht="13.5">
      <c r="A1265" s="541"/>
      <c r="B1265" s="576"/>
      <c r="C1265" s="541"/>
      <c r="D1265" s="541"/>
      <c r="E1265" s="541" t="s">
        <v>513</v>
      </c>
      <c r="F1265" s="541"/>
      <c r="G1265" s="541">
        <v>43</v>
      </c>
      <c r="H1265" s="541" t="s">
        <v>677</v>
      </c>
      <c r="I1265" s="541" t="s">
        <v>516</v>
      </c>
      <c r="J1265" s="739">
        <v>-71521</v>
      </c>
    </row>
    <row r="1266" spans="1:10" ht="13.5">
      <c r="A1266" s="541"/>
      <c r="B1266" s="576"/>
      <c r="C1266" s="541">
        <v>132</v>
      </c>
      <c r="D1266" s="541"/>
      <c r="E1266" s="541" t="s">
        <v>517</v>
      </c>
      <c r="F1266" s="541"/>
      <c r="G1266" s="541">
        <v>43</v>
      </c>
      <c r="H1266" s="541" t="s">
        <v>678</v>
      </c>
      <c r="I1266" s="541" t="s">
        <v>516</v>
      </c>
      <c r="J1266" s="739">
        <v>706383</v>
      </c>
    </row>
    <row r="1267" spans="1:10" ht="13.5">
      <c r="A1267" s="541"/>
      <c r="B1267" s="576"/>
      <c r="C1267" s="541"/>
      <c r="D1267" s="541"/>
      <c r="E1267" s="541" t="s">
        <v>517</v>
      </c>
      <c r="F1267" s="541"/>
      <c r="G1267" s="541">
        <v>43</v>
      </c>
      <c r="H1267" s="541" t="s">
        <v>603</v>
      </c>
      <c r="I1267" s="541" t="s">
        <v>516</v>
      </c>
      <c r="J1267" s="739">
        <v>32118</v>
      </c>
    </row>
    <row r="1268" spans="1:10" ht="13.5">
      <c r="A1268" s="541"/>
      <c r="B1268" s="576"/>
      <c r="C1268" s="541"/>
      <c r="D1268" s="541"/>
      <c r="E1268" s="541" t="s">
        <v>517</v>
      </c>
      <c r="F1268" s="541"/>
      <c r="G1268" s="541">
        <v>43</v>
      </c>
      <c r="H1268" s="541" t="s">
        <v>650</v>
      </c>
      <c r="I1268" s="541" t="s">
        <v>516</v>
      </c>
      <c r="J1268" s="739">
        <v>134611</v>
      </c>
    </row>
    <row r="1269" spans="1:10" s="549" customFormat="1" ht="13.5">
      <c r="A1269" s="554"/>
      <c r="B1269" s="554"/>
      <c r="C1269" s="554">
        <v>132</v>
      </c>
      <c r="D1269" s="554"/>
      <c r="E1269" s="554"/>
      <c r="F1269" s="554"/>
      <c r="G1269" s="554">
        <v>43</v>
      </c>
      <c r="H1269" s="554"/>
      <c r="I1269" s="554"/>
      <c r="J1269" s="740">
        <v>486176</v>
      </c>
    </row>
    <row r="1270" spans="1:10" ht="13.5">
      <c r="A1270" s="541"/>
      <c r="B1270" s="576"/>
      <c r="C1270" s="541">
        <v>132</v>
      </c>
      <c r="D1270" s="541"/>
      <c r="E1270" s="541" t="s">
        <v>513</v>
      </c>
      <c r="F1270" s="541"/>
      <c r="G1270" s="541">
        <v>35</v>
      </c>
      <c r="H1270" s="541" t="s">
        <v>557</v>
      </c>
      <c r="I1270" s="541" t="s">
        <v>719</v>
      </c>
      <c r="J1270" s="739">
        <v>-45000</v>
      </c>
    </row>
    <row r="1271" spans="1:10" s="549" customFormat="1" ht="13.5">
      <c r="A1271" s="554"/>
      <c r="B1271" s="554"/>
      <c r="C1271" s="554">
        <v>132</v>
      </c>
      <c r="D1271" s="554"/>
      <c r="E1271" s="554"/>
      <c r="F1271" s="554"/>
      <c r="G1271" s="554">
        <v>35</v>
      </c>
      <c r="H1271" s="554"/>
      <c r="I1271" s="554"/>
      <c r="J1271" s="740">
        <v>-45000</v>
      </c>
    </row>
    <row r="1272" spans="1:10" ht="13.5">
      <c r="A1272" s="541"/>
      <c r="B1272" s="576"/>
      <c r="C1272" s="541">
        <v>132</v>
      </c>
      <c r="D1272" s="541"/>
      <c r="E1272" s="541" t="s">
        <v>513</v>
      </c>
      <c r="F1272" s="541"/>
      <c r="G1272" s="541">
        <v>31</v>
      </c>
      <c r="H1272" s="541" t="s">
        <v>523</v>
      </c>
      <c r="I1272" s="541" t="s">
        <v>516</v>
      </c>
      <c r="J1272" s="739">
        <v>-441176</v>
      </c>
    </row>
    <row r="1273" spans="1:10" ht="13.5">
      <c r="A1273" s="741" t="s">
        <v>825</v>
      </c>
      <c r="B1273" s="744"/>
      <c r="C1273" s="547">
        <v>132</v>
      </c>
      <c r="D1273" s="547"/>
      <c r="E1273" s="547"/>
      <c r="F1273" s="547"/>
      <c r="G1273" s="547">
        <v>31</v>
      </c>
      <c r="H1273" s="547"/>
      <c r="I1273" s="547"/>
      <c r="J1273" s="742">
        <v>-441176</v>
      </c>
    </row>
    <row r="1274" spans="1:10" ht="12.75">
      <c r="A1274" s="582"/>
      <c r="B1274" s="582"/>
      <c r="C1274" s="582"/>
      <c r="D1274" s="582"/>
      <c r="E1274" s="582"/>
      <c r="F1274" s="582"/>
      <c r="G1274" s="582"/>
      <c r="H1274" s="582"/>
      <c r="I1274" s="582"/>
      <c r="J1274" s="743"/>
    </row>
    <row r="1275" spans="1:10" ht="13.5">
      <c r="A1275" s="541">
        <v>758</v>
      </c>
      <c r="B1275" s="576">
        <v>41639</v>
      </c>
      <c r="C1275" s="541">
        <v>132</v>
      </c>
      <c r="D1275" s="541" t="s">
        <v>826</v>
      </c>
      <c r="E1275" s="541" t="s">
        <v>513</v>
      </c>
      <c r="F1275" s="543" t="s">
        <v>514</v>
      </c>
      <c r="G1275" s="541">
        <v>340</v>
      </c>
      <c r="H1275" s="541" t="s">
        <v>694</v>
      </c>
      <c r="I1275" s="541" t="s">
        <v>516</v>
      </c>
      <c r="J1275" s="739">
        <v>-45</v>
      </c>
    </row>
    <row r="1276" spans="1:10" ht="13.5">
      <c r="A1276" s="541"/>
      <c r="B1276" s="576"/>
      <c r="C1276" s="541">
        <v>132</v>
      </c>
      <c r="D1276" s="541"/>
      <c r="E1276" s="541" t="s">
        <v>517</v>
      </c>
      <c r="F1276" s="654" t="s">
        <v>518</v>
      </c>
      <c r="G1276" s="541">
        <v>340</v>
      </c>
      <c r="H1276" s="541" t="s">
        <v>702</v>
      </c>
      <c r="I1276" s="541" t="s">
        <v>516</v>
      </c>
      <c r="J1276" s="739">
        <v>45</v>
      </c>
    </row>
    <row r="1277" spans="1:10" ht="13.5">
      <c r="A1277" s="741" t="s">
        <v>827</v>
      </c>
      <c r="B1277" s="744"/>
      <c r="C1277" s="547">
        <v>132</v>
      </c>
      <c r="D1277" s="547"/>
      <c r="E1277" s="547"/>
      <c r="F1277" s="547"/>
      <c r="G1277" s="547">
        <v>340</v>
      </c>
      <c r="H1277" s="547"/>
      <c r="I1277" s="547"/>
      <c r="J1277" s="742">
        <v>0</v>
      </c>
    </row>
    <row r="1278" spans="1:10" ht="12.75">
      <c r="A1278" s="582"/>
      <c r="B1278" s="582"/>
      <c r="C1278" s="582"/>
      <c r="D1278" s="582"/>
      <c r="E1278" s="582"/>
      <c r="F1278" s="582"/>
      <c r="G1278" s="582"/>
      <c r="H1278" s="582"/>
      <c r="I1278" s="582"/>
      <c r="J1278" s="694"/>
    </row>
    <row r="1279" spans="1:10" ht="13.5">
      <c r="A1279" s="709">
        <v>762</v>
      </c>
      <c r="B1279" s="710">
        <v>41639</v>
      </c>
      <c r="C1279" s="709" t="s">
        <v>541</v>
      </c>
      <c r="D1279" s="709" t="s">
        <v>828</v>
      </c>
      <c r="E1279" s="709" t="s">
        <v>513</v>
      </c>
      <c r="F1279" s="543" t="s">
        <v>514</v>
      </c>
      <c r="G1279" s="709" t="s">
        <v>675</v>
      </c>
      <c r="H1279" s="709" t="s">
        <v>774</v>
      </c>
      <c r="I1279" s="709" t="s">
        <v>516</v>
      </c>
      <c r="J1279" s="725">
        <v>-12936</v>
      </c>
    </row>
    <row r="1280" spans="1:10" ht="13.5">
      <c r="A1280" s="709"/>
      <c r="B1280" s="710"/>
      <c r="C1280" s="709"/>
      <c r="D1280" s="709"/>
      <c r="E1280" s="709" t="s">
        <v>513</v>
      </c>
      <c r="F1280" s="654" t="s">
        <v>518</v>
      </c>
      <c r="G1280" s="709" t="s">
        <v>675</v>
      </c>
      <c r="H1280" s="709" t="s">
        <v>676</v>
      </c>
      <c r="I1280" s="709" t="s">
        <v>516</v>
      </c>
      <c r="J1280" s="725">
        <v>-3912</v>
      </c>
    </row>
    <row r="1281" spans="1:10" ht="13.5">
      <c r="A1281" s="709"/>
      <c r="B1281" s="710"/>
      <c r="C1281" s="709"/>
      <c r="D1281" s="709"/>
      <c r="E1281" s="709" t="s">
        <v>513</v>
      </c>
      <c r="F1281" s="709"/>
      <c r="G1281" s="709" t="s">
        <v>675</v>
      </c>
      <c r="H1281" s="709" t="s">
        <v>829</v>
      </c>
      <c r="I1281" s="709" t="s">
        <v>516</v>
      </c>
      <c r="J1281" s="725">
        <v>-384</v>
      </c>
    </row>
    <row r="1282" spans="1:10" ht="13.5">
      <c r="A1282" s="709"/>
      <c r="B1282" s="710"/>
      <c r="C1282" s="709"/>
      <c r="D1282" s="709"/>
      <c r="E1282" s="709" t="s">
        <v>513</v>
      </c>
      <c r="F1282" s="709"/>
      <c r="G1282" s="709" t="s">
        <v>675</v>
      </c>
      <c r="H1282" s="709" t="s">
        <v>677</v>
      </c>
      <c r="I1282" s="709" t="s">
        <v>516</v>
      </c>
      <c r="J1282" s="725">
        <v>646</v>
      </c>
    </row>
    <row r="1283" spans="1:10" ht="13.5">
      <c r="A1283" s="709"/>
      <c r="B1283" s="710"/>
      <c r="C1283" s="709"/>
      <c r="D1283" s="709"/>
      <c r="E1283" s="709" t="s">
        <v>513</v>
      </c>
      <c r="F1283" s="709"/>
      <c r="G1283" s="709" t="s">
        <v>675</v>
      </c>
      <c r="H1283" s="709" t="s">
        <v>603</v>
      </c>
      <c r="I1283" s="709" t="s">
        <v>516</v>
      </c>
      <c r="J1283" s="725">
        <v>-17918</v>
      </c>
    </row>
    <row r="1284" spans="1:10" ht="13.5">
      <c r="A1284" s="709"/>
      <c r="B1284" s="710"/>
      <c r="C1284" s="709"/>
      <c r="D1284" s="709"/>
      <c r="E1284" s="709" t="s">
        <v>513</v>
      </c>
      <c r="F1284" s="709"/>
      <c r="G1284" s="709" t="s">
        <v>675</v>
      </c>
      <c r="H1284" s="709" t="s">
        <v>830</v>
      </c>
      <c r="I1284" s="709" t="s">
        <v>516</v>
      </c>
      <c r="J1284" s="725">
        <v>-1641</v>
      </c>
    </row>
    <row r="1285" spans="1:10" ht="13.5">
      <c r="A1285" s="709"/>
      <c r="B1285" s="710"/>
      <c r="C1285" s="709"/>
      <c r="D1285" s="709"/>
      <c r="E1285" s="709" t="s">
        <v>517</v>
      </c>
      <c r="F1285" s="709"/>
      <c r="G1285" s="709" t="s">
        <v>675</v>
      </c>
      <c r="H1285" s="709" t="s">
        <v>679</v>
      </c>
      <c r="I1285" s="709" t="s">
        <v>516</v>
      </c>
      <c r="J1285" s="725">
        <v>-313</v>
      </c>
    </row>
    <row r="1286" spans="1:10" ht="13.5">
      <c r="A1286" s="709"/>
      <c r="B1286" s="710"/>
      <c r="C1286" s="709"/>
      <c r="D1286" s="709"/>
      <c r="E1286" s="709" t="s">
        <v>517</v>
      </c>
      <c r="F1286" s="709"/>
      <c r="G1286" s="709" t="s">
        <v>675</v>
      </c>
      <c r="H1286" s="709" t="s">
        <v>650</v>
      </c>
      <c r="I1286" s="709" t="s">
        <v>516</v>
      </c>
      <c r="J1286" s="725">
        <v>36458</v>
      </c>
    </row>
    <row r="1287" spans="1:10" ht="13.5">
      <c r="A1287" s="720" t="s">
        <v>831</v>
      </c>
      <c r="B1287" s="721"/>
      <c r="C1287" s="722" t="s">
        <v>541</v>
      </c>
      <c r="D1287" s="722"/>
      <c r="E1287" s="722"/>
      <c r="F1287" s="722"/>
      <c r="G1287" s="722" t="s">
        <v>675</v>
      </c>
      <c r="H1287" s="722"/>
      <c r="I1287" s="722"/>
      <c r="J1287" s="726">
        <f>SUM(J1279:J1286)</f>
        <v>0</v>
      </c>
    </row>
    <row r="1288" spans="1:10" ht="12.75">
      <c r="A1288" s="747"/>
      <c r="B1288" s="582"/>
      <c r="C1288" s="582"/>
      <c r="D1288" s="582"/>
      <c r="E1288" s="582"/>
      <c r="F1288" s="582"/>
      <c r="G1288" s="582"/>
      <c r="H1288" s="582"/>
      <c r="I1288" s="582"/>
      <c r="J1288" s="748"/>
    </row>
    <row r="1289" spans="1:12" ht="13.5">
      <c r="A1289" s="749">
        <v>767</v>
      </c>
      <c r="B1289" s="576">
        <v>41639</v>
      </c>
      <c r="C1289" s="541">
        <v>132</v>
      </c>
      <c r="D1289" s="541" t="s">
        <v>832</v>
      </c>
      <c r="E1289" s="541" t="s">
        <v>517</v>
      </c>
      <c r="F1289" s="543" t="s">
        <v>514</v>
      </c>
      <c r="G1289" s="541">
        <v>390</v>
      </c>
      <c r="H1289" s="541" t="s">
        <v>833</v>
      </c>
      <c r="I1289" s="541" t="s">
        <v>516</v>
      </c>
      <c r="J1289" s="750">
        <v>15200</v>
      </c>
      <c r="K1289" s="751"/>
      <c r="L1289" s="751"/>
    </row>
    <row r="1290" spans="1:14" ht="13.5">
      <c r="A1290" s="749"/>
      <c r="B1290" s="576"/>
      <c r="C1290" s="541">
        <v>132</v>
      </c>
      <c r="D1290" s="541"/>
      <c r="E1290" s="541" t="s">
        <v>517</v>
      </c>
      <c r="F1290" s="654" t="s">
        <v>518</v>
      </c>
      <c r="G1290" s="541">
        <v>390</v>
      </c>
      <c r="H1290" s="541" t="s">
        <v>591</v>
      </c>
      <c r="I1290" s="541" t="s">
        <v>516</v>
      </c>
      <c r="J1290" s="750">
        <v>6400</v>
      </c>
      <c r="K1290" s="751"/>
      <c r="L1290" s="751"/>
      <c r="M1290" s="751"/>
      <c r="N1290" s="751"/>
    </row>
    <row r="1291" spans="1:14" ht="13.5">
      <c r="A1291" s="749"/>
      <c r="B1291" s="541"/>
      <c r="C1291" s="541">
        <v>132</v>
      </c>
      <c r="D1291" s="541"/>
      <c r="E1291" s="541"/>
      <c r="F1291" s="541"/>
      <c r="G1291" s="541">
        <v>390</v>
      </c>
      <c r="H1291" s="541"/>
      <c r="I1291" s="541"/>
      <c r="J1291" s="750">
        <v>21600</v>
      </c>
      <c r="K1291" s="751"/>
      <c r="L1291" s="751"/>
      <c r="M1291" s="751"/>
      <c r="N1291" s="751"/>
    </row>
    <row r="1292" spans="1:14" s="549" customFormat="1" ht="13.5">
      <c r="A1292" s="752"/>
      <c r="B1292" s="554"/>
      <c r="C1292" s="554"/>
      <c r="D1292" s="554"/>
      <c r="E1292" s="554"/>
      <c r="F1292" s="554"/>
      <c r="G1292" s="554">
        <v>390</v>
      </c>
      <c r="H1292" s="554"/>
      <c r="I1292" s="554"/>
      <c r="J1292" s="753">
        <v>21600</v>
      </c>
      <c r="K1292" s="754"/>
      <c r="L1292" s="754"/>
      <c r="M1292" s="754"/>
      <c r="N1292" s="754"/>
    </row>
    <row r="1293" spans="1:14" ht="13.5">
      <c r="A1293" s="749"/>
      <c r="B1293" s="576"/>
      <c r="C1293" s="541">
        <v>132</v>
      </c>
      <c r="D1293" s="541"/>
      <c r="E1293" s="541" t="s">
        <v>517</v>
      </c>
      <c r="F1293" s="541"/>
      <c r="G1293" s="541">
        <v>380</v>
      </c>
      <c r="H1293" s="541" t="s">
        <v>833</v>
      </c>
      <c r="I1293" s="541" t="s">
        <v>516</v>
      </c>
      <c r="J1293" s="750">
        <v>13640</v>
      </c>
      <c r="K1293" s="751"/>
      <c r="L1293" s="751"/>
      <c r="M1293" s="751"/>
      <c r="N1293" s="751"/>
    </row>
    <row r="1294" spans="1:14" ht="13.5">
      <c r="A1294" s="749"/>
      <c r="B1294" s="576"/>
      <c r="C1294" s="541">
        <v>132</v>
      </c>
      <c r="D1294" s="541"/>
      <c r="E1294" s="541" t="s">
        <v>517</v>
      </c>
      <c r="F1294" s="541"/>
      <c r="G1294" s="541">
        <v>380</v>
      </c>
      <c r="H1294" s="541" t="s">
        <v>591</v>
      </c>
      <c r="I1294" s="541" t="s">
        <v>516</v>
      </c>
      <c r="J1294" s="750">
        <v>4100</v>
      </c>
      <c r="K1294" s="751"/>
      <c r="L1294" s="751"/>
      <c r="M1294" s="751"/>
      <c r="N1294" s="751"/>
    </row>
    <row r="1295" spans="1:14" ht="13.5">
      <c r="A1295" s="749"/>
      <c r="B1295" s="541"/>
      <c r="C1295" s="541">
        <v>132</v>
      </c>
      <c r="D1295" s="541"/>
      <c r="E1295" s="541"/>
      <c r="F1295" s="541"/>
      <c r="G1295" s="541">
        <v>380</v>
      </c>
      <c r="H1295" s="541"/>
      <c r="I1295" s="541"/>
      <c r="J1295" s="750">
        <v>17740</v>
      </c>
      <c r="K1295" s="751"/>
      <c r="L1295" s="751"/>
      <c r="M1295" s="751"/>
      <c r="N1295" s="751"/>
    </row>
    <row r="1296" spans="1:14" s="549" customFormat="1" ht="13.5">
      <c r="A1296" s="752"/>
      <c r="B1296" s="554"/>
      <c r="C1296" s="554"/>
      <c r="D1296" s="554"/>
      <c r="E1296" s="554"/>
      <c r="F1296" s="554"/>
      <c r="G1296" s="554">
        <v>380</v>
      </c>
      <c r="H1296" s="554"/>
      <c r="I1296" s="554"/>
      <c r="J1296" s="753">
        <v>17740</v>
      </c>
      <c r="K1296" s="754"/>
      <c r="L1296" s="754"/>
      <c r="M1296" s="754"/>
      <c r="N1296" s="754"/>
    </row>
    <row r="1297" spans="1:14" ht="13.5">
      <c r="A1297" s="749"/>
      <c r="B1297" s="576"/>
      <c r="C1297" s="541">
        <v>132</v>
      </c>
      <c r="D1297" s="541"/>
      <c r="E1297" s="541" t="s">
        <v>517</v>
      </c>
      <c r="F1297" s="541"/>
      <c r="G1297" s="541">
        <v>370</v>
      </c>
      <c r="H1297" s="541" t="s">
        <v>833</v>
      </c>
      <c r="I1297" s="541" t="s">
        <v>516</v>
      </c>
      <c r="J1297" s="750">
        <v>26000</v>
      </c>
      <c r="K1297" s="751"/>
      <c r="L1297" s="751"/>
      <c r="M1297" s="751"/>
      <c r="N1297" s="751"/>
    </row>
    <row r="1298" spans="1:14" ht="13.5">
      <c r="A1298" s="749"/>
      <c r="B1298" s="576"/>
      <c r="C1298" s="541">
        <v>132</v>
      </c>
      <c r="D1298" s="541"/>
      <c r="E1298" s="541" t="s">
        <v>517</v>
      </c>
      <c r="F1298" s="541"/>
      <c r="G1298" s="541">
        <v>370</v>
      </c>
      <c r="H1298" s="541" t="s">
        <v>591</v>
      </c>
      <c r="I1298" s="541" t="s">
        <v>516</v>
      </c>
      <c r="J1298" s="750">
        <v>10400</v>
      </c>
      <c r="K1298" s="751"/>
      <c r="L1298" s="751"/>
      <c r="M1298" s="751"/>
      <c r="N1298" s="751"/>
    </row>
    <row r="1299" spans="1:14" ht="13.5">
      <c r="A1299" s="749"/>
      <c r="B1299" s="541"/>
      <c r="C1299" s="541">
        <v>132</v>
      </c>
      <c r="D1299" s="541"/>
      <c r="E1299" s="541"/>
      <c r="F1299" s="541"/>
      <c r="G1299" s="541">
        <v>370</v>
      </c>
      <c r="H1299" s="541"/>
      <c r="I1299" s="541"/>
      <c r="J1299" s="750">
        <v>36400</v>
      </c>
      <c r="K1299" s="751"/>
      <c r="L1299" s="751"/>
      <c r="M1299" s="751"/>
      <c r="N1299" s="751"/>
    </row>
    <row r="1300" spans="1:14" s="549" customFormat="1" ht="13.5">
      <c r="A1300" s="752"/>
      <c r="B1300" s="554"/>
      <c r="C1300" s="554"/>
      <c r="D1300" s="554"/>
      <c r="E1300" s="554"/>
      <c r="F1300" s="554"/>
      <c r="G1300" s="554">
        <v>370</v>
      </c>
      <c r="H1300" s="554"/>
      <c r="I1300" s="554"/>
      <c r="J1300" s="753">
        <v>36400</v>
      </c>
      <c r="K1300" s="754"/>
      <c r="L1300" s="754"/>
      <c r="M1300" s="754"/>
      <c r="N1300" s="754"/>
    </row>
    <row r="1301" spans="1:14" ht="13.5">
      <c r="A1301" s="749"/>
      <c r="B1301" s="576"/>
      <c r="C1301" s="541">
        <v>132</v>
      </c>
      <c r="D1301" s="541"/>
      <c r="E1301" s="541" t="s">
        <v>513</v>
      </c>
      <c r="F1301" s="541"/>
      <c r="G1301" s="541">
        <v>360</v>
      </c>
      <c r="H1301" s="541" t="s">
        <v>630</v>
      </c>
      <c r="I1301" s="541" t="s">
        <v>516</v>
      </c>
      <c r="J1301" s="750">
        <v>-19550</v>
      </c>
      <c r="K1301" s="751"/>
      <c r="L1301" s="751"/>
      <c r="M1301" s="751"/>
      <c r="N1301" s="751"/>
    </row>
    <row r="1302" spans="1:14" ht="13.5">
      <c r="A1302" s="749"/>
      <c r="B1302" s="541"/>
      <c r="C1302" s="541">
        <v>132</v>
      </c>
      <c r="D1302" s="541"/>
      <c r="E1302" s="541"/>
      <c r="F1302" s="541"/>
      <c r="G1302" s="541">
        <v>360</v>
      </c>
      <c r="H1302" s="541"/>
      <c r="I1302" s="541"/>
      <c r="J1302" s="750">
        <v>-19550</v>
      </c>
      <c r="K1302" s="751"/>
      <c r="L1302" s="751"/>
      <c r="M1302" s="751"/>
      <c r="N1302" s="751"/>
    </row>
    <row r="1303" spans="1:14" s="549" customFormat="1" ht="13.5">
      <c r="A1303" s="752"/>
      <c r="B1303" s="554"/>
      <c r="C1303" s="554"/>
      <c r="D1303" s="554"/>
      <c r="E1303" s="554"/>
      <c r="F1303" s="554"/>
      <c r="G1303" s="554">
        <v>360</v>
      </c>
      <c r="H1303" s="554"/>
      <c r="I1303" s="554"/>
      <c r="J1303" s="753">
        <v>-19550</v>
      </c>
      <c r="K1303" s="754"/>
      <c r="L1303" s="754"/>
      <c r="M1303" s="754"/>
      <c r="N1303" s="754"/>
    </row>
    <row r="1304" spans="1:14" ht="13.5">
      <c r="A1304" s="749"/>
      <c r="B1304" s="576"/>
      <c r="C1304" s="541">
        <v>132</v>
      </c>
      <c r="D1304" s="541"/>
      <c r="E1304" s="541" t="s">
        <v>517</v>
      </c>
      <c r="F1304" s="541"/>
      <c r="G1304" s="541">
        <v>340</v>
      </c>
      <c r="H1304" s="541" t="s">
        <v>833</v>
      </c>
      <c r="I1304" s="541" t="s">
        <v>516</v>
      </c>
      <c r="J1304" s="750">
        <v>12130</v>
      </c>
      <c r="K1304" s="751"/>
      <c r="L1304" s="751"/>
      <c r="M1304" s="751"/>
      <c r="N1304" s="751"/>
    </row>
    <row r="1305" spans="1:14" ht="13.5">
      <c r="A1305" s="749"/>
      <c r="B1305" s="541"/>
      <c r="C1305" s="541">
        <v>132</v>
      </c>
      <c r="D1305" s="541"/>
      <c r="E1305" s="541"/>
      <c r="F1305" s="541"/>
      <c r="G1305" s="541">
        <v>340</v>
      </c>
      <c r="H1305" s="541"/>
      <c r="I1305" s="541"/>
      <c r="J1305" s="750">
        <v>12130</v>
      </c>
      <c r="K1305" s="751"/>
      <c r="L1305" s="751"/>
      <c r="M1305" s="751"/>
      <c r="N1305" s="751"/>
    </row>
    <row r="1306" spans="1:14" s="549" customFormat="1" ht="13.5">
      <c r="A1306" s="752"/>
      <c r="B1306" s="554"/>
      <c r="C1306" s="554"/>
      <c r="D1306" s="554"/>
      <c r="E1306" s="554"/>
      <c r="F1306" s="554"/>
      <c r="G1306" s="554">
        <v>340</v>
      </c>
      <c r="H1306" s="554"/>
      <c r="I1306" s="554"/>
      <c r="J1306" s="753">
        <v>12130</v>
      </c>
      <c r="K1306" s="754"/>
      <c r="L1306" s="754"/>
      <c r="M1306" s="754"/>
      <c r="N1306" s="754"/>
    </row>
    <row r="1307" spans="1:14" ht="13.5">
      <c r="A1307" s="749"/>
      <c r="B1307" s="576"/>
      <c r="C1307" s="541">
        <v>132</v>
      </c>
      <c r="D1307" s="541"/>
      <c r="E1307" s="541" t="s">
        <v>517</v>
      </c>
      <c r="F1307" s="541"/>
      <c r="G1307" s="541">
        <v>320</v>
      </c>
      <c r="H1307" s="541" t="s">
        <v>833</v>
      </c>
      <c r="I1307" s="541" t="s">
        <v>516</v>
      </c>
      <c r="J1307" s="750">
        <v>620</v>
      </c>
      <c r="K1307" s="751"/>
      <c r="L1307" s="751"/>
      <c r="M1307" s="751"/>
      <c r="N1307" s="751"/>
    </row>
    <row r="1308" spans="1:14" ht="13.5">
      <c r="A1308" s="749"/>
      <c r="B1308" s="541"/>
      <c r="C1308" s="541">
        <v>132</v>
      </c>
      <c r="D1308" s="541"/>
      <c r="E1308" s="541"/>
      <c r="F1308" s="541"/>
      <c r="G1308" s="541">
        <v>320</v>
      </c>
      <c r="H1308" s="541"/>
      <c r="I1308" s="541"/>
      <c r="J1308" s="750">
        <v>620</v>
      </c>
      <c r="K1308" s="751"/>
      <c r="L1308" s="751"/>
      <c r="M1308" s="751"/>
      <c r="N1308" s="751"/>
    </row>
    <row r="1309" spans="1:14" s="549" customFormat="1" ht="13.5">
      <c r="A1309" s="752"/>
      <c r="B1309" s="554"/>
      <c r="C1309" s="554"/>
      <c r="D1309" s="554"/>
      <c r="E1309" s="554"/>
      <c r="F1309" s="554"/>
      <c r="G1309" s="554">
        <v>320</v>
      </c>
      <c r="H1309" s="554"/>
      <c r="I1309" s="554"/>
      <c r="J1309" s="753">
        <v>620</v>
      </c>
      <c r="K1309" s="754"/>
      <c r="L1309" s="754"/>
      <c r="M1309" s="754"/>
      <c r="N1309" s="754"/>
    </row>
    <row r="1310" spans="1:14" ht="13.5">
      <c r="A1310" s="749"/>
      <c r="B1310" s="576"/>
      <c r="C1310" s="541">
        <v>132</v>
      </c>
      <c r="D1310" s="541"/>
      <c r="E1310" s="541" t="s">
        <v>517</v>
      </c>
      <c r="F1310" s="541"/>
      <c r="G1310" s="541">
        <v>310</v>
      </c>
      <c r="H1310" s="541" t="s">
        <v>833</v>
      </c>
      <c r="I1310" s="541" t="s">
        <v>516</v>
      </c>
      <c r="J1310" s="750">
        <v>9390</v>
      </c>
      <c r="K1310" s="751"/>
      <c r="L1310" s="751"/>
      <c r="M1310" s="751"/>
      <c r="N1310" s="751"/>
    </row>
    <row r="1311" spans="1:14" ht="13.5">
      <c r="A1311" s="749"/>
      <c r="B1311" s="576"/>
      <c r="C1311" s="541">
        <v>132</v>
      </c>
      <c r="D1311" s="541"/>
      <c r="E1311" s="541" t="s">
        <v>517</v>
      </c>
      <c r="F1311" s="541"/>
      <c r="G1311" s="541">
        <v>310</v>
      </c>
      <c r="H1311" s="541" t="s">
        <v>591</v>
      </c>
      <c r="I1311" s="541" t="s">
        <v>516</v>
      </c>
      <c r="J1311" s="750">
        <v>2700</v>
      </c>
      <c r="K1311" s="751"/>
      <c r="L1311" s="751"/>
      <c r="M1311" s="751"/>
      <c r="N1311" s="751"/>
    </row>
    <row r="1312" spans="1:14" ht="13.5">
      <c r="A1312" s="749"/>
      <c r="B1312" s="541"/>
      <c r="C1312" s="541">
        <v>132</v>
      </c>
      <c r="D1312" s="541"/>
      <c r="E1312" s="541"/>
      <c r="F1312" s="541"/>
      <c r="G1312" s="541">
        <v>310</v>
      </c>
      <c r="H1312" s="541"/>
      <c r="I1312" s="541"/>
      <c r="J1312" s="750">
        <v>12090</v>
      </c>
      <c r="K1312" s="751"/>
      <c r="L1312" s="751"/>
      <c r="M1312" s="751"/>
      <c r="N1312" s="751"/>
    </row>
    <row r="1313" spans="1:14" s="549" customFormat="1" ht="13.5">
      <c r="A1313" s="752"/>
      <c r="B1313" s="554"/>
      <c r="C1313" s="554"/>
      <c r="D1313" s="554"/>
      <c r="E1313" s="554"/>
      <c r="F1313" s="554"/>
      <c r="G1313" s="554">
        <v>310</v>
      </c>
      <c r="H1313" s="554"/>
      <c r="I1313" s="554"/>
      <c r="J1313" s="753">
        <v>12090</v>
      </c>
      <c r="K1313" s="754"/>
      <c r="L1313" s="754"/>
      <c r="M1313" s="754"/>
      <c r="N1313" s="754"/>
    </row>
    <row r="1314" spans="1:14" ht="13.5">
      <c r="A1314" s="749"/>
      <c r="B1314" s="576"/>
      <c r="C1314" s="541">
        <v>132</v>
      </c>
      <c r="D1314" s="541"/>
      <c r="E1314" s="541" t="s">
        <v>513</v>
      </c>
      <c r="F1314" s="541"/>
      <c r="G1314" s="541">
        <v>31</v>
      </c>
      <c r="H1314" s="541" t="s">
        <v>833</v>
      </c>
      <c r="I1314" s="541" t="s">
        <v>516</v>
      </c>
      <c r="J1314" s="750">
        <v>-562817</v>
      </c>
      <c r="K1314" s="751"/>
      <c r="L1314" s="751"/>
      <c r="M1314" s="751"/>
      <c r="N1314" s="751"/>
    </row>
    <row r="1315" spans="1:14" ht="13.5">
      <c r="A1315" s="749"/>
      <c r="B1315" s="576"/>
      <c r="C1315" s="541">
        <v>132</v>
      </c>
      <c r="D1315" s="541"/>
      <c r="E1315" s="541" t="s">
        <v>513</v>
      </c>
      <c r="F1315" s="541"/>
      <c r="G1315" s="541">
        <v>31</v>
      </c>
      <c r="H1315" s="541" t="s">
        <v>606</v>
      </c>
      <c r="I1315" s="541" t="s">
        <v>516</v>
      </c>
      <c r="J1315" s="750">
        <v>-118500</v>
      </c>
      <c r="K1315" s="751"/>
      <c r="L1315" s="751"/>
      <c r="M1315" s="751"/>
      <c r="N1315" s="751"/>
    </row>
    <row r="1316" spans="1:14" ht="13.5">
      <c r="A1316" s="749"/>
      <c r="B1316" s="541"/>
      <c r="C1316" s="541">
        <v>132</v>
      </c>
      <c r="D1316" s="541"/>
      <c r="E1316" s="541"/>
      <c r="F1316" s="541"/>
      <c r="G1316" s="541">
        <v>31</v>
      </c>
      <c r="H1316" s="541"/>
      <c r="I1316" s="541"/>
      <c r="J1316" s="750">
        <v>-681317</v>
      </c>
      <c r="K1316" s="751"/>
      <c r="L1316" s="751"/>
      <c r="M1316" s="751"/>
      <c r="N1316" s="751"/>
    </row>
    <row r="1317" spans="1:14" s="549" customFormat="1" ht="13.5">
      <c r="A1317" s="752"/>
      <c r="B1317" s="554"/>
      <c r="C1317" s="554"/>
      <c r="D1317" s="554"/>
      <c r="E1317" s="554"/>
      <c r="F1317" s="554"/>
      <c r="G1317" s="554">
        <v>31</v>
      </c>
      <c r="H1317" s="554"/>
      <c r="I1317" s="554"/>
      <c r="J1317" s="753">
        <v>-681317</v>
      </c>
      <c r="K1317" s="754"/>
      <c r="L1317" s="754"/>
      <c r="M1317" s="754"/>
      <c r="N1317" s="754"/>
    </row>
    <row r="1318" spans="1:14" ht="13.5">
      <c r="A1318" s="749"/>
      <c r="B1318" s="576"/>
      <c r="C1318" s="541">
        <v>132</v>
      </c>
      <c r="D1318" s="541"/>
      <c r="E1318" s="541" t="s">
        <v>517</v>
      </c>
      <c r="F1318" s="541"/>
      <c r="G1318" s="541">
        <v>300</v>
      </c>
      <c r="H1318" s="541" t="s">
        <v>833</v>
      </c>
      <c r="I1318" s="541" t="s">
        <v>516</v>
      </c>
      <c r="J1318" s="750">
        <v>5181</v>
      </c>
      <c r="K1318" s="751"/>
      <c r="L1318" s="751"/>
      <c r="M1318" s="751"/>
      <c r="N1318" s="751"/>
    </row>
    <row r="1319" spans="1:14" ht="13.5">
      <c r="A1319" s="749"/>
      <c r="B1319" s="541"/>
      <c r="C1319" s="541">
        <v>132</v>
      </c>
      <c r="D1319" s="541"/>
      <c r="E1319" s="541"/>
      <c r="F1319" s="541"/>
      <c r="G1319" s="541">
        <v>300</v>
      </c>
      <c r="H1319" s="541"/>
      <c r="I1319" s="541"/>
      <c r="J1319" s="750">
        <v>5181</v>
      </c>
      <c r="K1319" s="751"/>
      <c r="L1319" s="751"/>
      <c r="M1319" s="751"/>
      <c r="N1319" s="751"/>
    </row>
    <row r="1320" spans="1:14" s="549" customFormat="1" ht="13.5">
      <c r="A1320" s="752"/>
      <c r="B1320" s="554"/>
      <c r="C1320" s="554"/>
      <c r="D1320" s="554"/>
      <c r="E1320" s="554"/>
      <c r="F1320" s="554"/>
      <c r="G1320" s="554">
        <v>300</v>
      </c>
      <c r="H1320" s="554"/>
      <c r="I1320" s="554"/>
      <c r="J1320" s="753">
        <v>5181</v>
      </c>
      <c r="K1320" s="754"/>
      <c r="L1320" s="754"/>
      <c r="M1320" s="754"/>
      <c r="N1320" s="754"/>
    </row>
    <row r="1321" spans="1:14" ht="13.5">
      <c r="A1321" s="749"/>
      <c r="B1321" s="576"/>
      <c r="C1321" s="541">
        <v>132</v>
      </c>
      <c r="D1321" s="541"/>
      <c r="E1321" s="541" t="s">
        <v>517</v>
      </c>
      <c r="F1321" s="541"/>
      <c r="G1321" s="541">
        <v>290</v>
      </c>
      <c r="H1321" s="541" t="s">
        <v>833</v>
      </c>
      <c r="I1321" s="541" t="s">
        <v>516</v>
      </c>
      <c r="J1321" s="750">
        <v>25151</v>
      </c>
      <c r="K1321" s="751"/>
      <c r="L1321" s="751"/>
      <c r="M1321" s="751"/>
      <c r="N1321" s="751"/>
    </row>
    <row r="1322" spans="1:14" ht="13.5">
      <c r="A1322" s="749"/>
      <c r="B1322" s="576"/>
      <c r="C1322" s="541">
        <v>132</v>
      </c>
      <c r="D1322" s="541"/>
      <c r="E1322" s="541" t="s">
        <v>517</v>
      </c>
      <c r="F1322" s="541"/>
      <c r="G1322" s="541">
        <v>290</v>
      </c>
      <c r="H1322" s="541" t="s">
        <v>591</v>
      </c>
      <c r="I1322" s="541" t="s">
        <v>516</v>
      </c>
      <c r="J1322" s="750">
        <v>5600</v>
      </c>
      <c r="K1322" s="751"/>
      <c r="L1322" s="751"/>
      <c r="M1322" s="751"/>
      <c r="N1322" s="751"/>
    </row>
    <row r="1323" spans="1:14" ht="13.5">
      <c r="A1323" s="749"/>
      <c r="B1323" s="541"/>
      <c r="C1323" s="541">
        <v>132</v>
      </c>
      <c r="D1323" s="541"/>
      <c r="E1323" s="541"/>
      <c r="F1323" s="541"/>
      <c r="G1323" s="541">
        <v>290</v>
      </c>
      <c r="H1323" s="541"/>
      <c r="I1323" s="541"/>
      <c r="J1323" s="750">
        <v>30751</v>
      </c>
      <c r="K1323" s="751"/>
      <c r="L1323" s="751"/>
      <c r="M1323" s="751"/>
      <c r="N1323" s="751"/>
    </row>
    <row r="1324" spans="1:14" s="549" customFormat="1" ht="13.5">
      <c r="A1324" s="752"/>
      <c r="B1324" s="554"/>
      <c r="C1324" s="554"/>
      <c r="D1324" s="554"/>
      <c r="E1324" s="554"/>
      <c r="F1324" s="554"/>
      <c r="G1324" s="554">
        <v>290</v>
      </c>
      <c r="H1324" s="554"/>
      <c r="I1324" s="554"/>
      <c r="J1324" s="753">
        <v>30751</v>
      </c>
      <c r="K1324" s="754"/>
      <c r="L1324" s="754"/>
      <c r="M1324" s="754"/>
      <c r="N1324" s="754"/>
    </row>
    <row r="1325" spans="1:14" ht="13.5">
      <c r="A1325" s="749"/>
      <c r="B1325" s="576"/>
      <c r="C1325" s="541">
        <v>132</v>
      </c>
      <c r="D1325" s="541"/>
      <c r="E1325" s="541" t="s">
        <v>513</v>
      </c>
      <c r="F1325" s="541"/>
      <c r="G1325" s="541">
        <v>280</v>
      </c>
      <c r="H1325" s="541" t="s">
        <v>630</v>
      </c>
      <c r="I1325" s="541" t="s">
        <v>516</v>
      </c>
      <c r="J1325" s="750">
        <v>-4400</v>
      </c>
      <c r="K1325" s="751"/>
      <c r="L1325" s="751"/>
      <c r="M1325" s="751"/>
      <c r="N1325" s="751"/>
    </row>
    <row r="1326" spans="1:14" ht="13.5">
      <c r="A1326" s="749"/>
      <c r="B1326" s="541"/>
      <c r="C1326" s="541">
        <v>132</v>
      </c>
      <c r="D1326" s="541"/>
      <c r="E1326" s="541"/>
      <c r="F1326" s="541"/>
      <c r="G1326" s="541">
        <v>280</v>
      </c>
      <c r="H1326" s="541"/>
      <c r="I1326" s="541"/>
      <c r="J1326" s="750">
        <v>-4400</v>
      </c>
      <c r="K1326" s="751"/>
      <c r="L1326" s="751"/>
      <c r="M1326" s="751"/>
      <c r="N1326" s="751"/>
    </row>
    <row r="1327" spans="1:14" s="549" customFormat="1" ht="13.5">
      <c r="A1327" s="752"/>
      <c r="B1327" s="554"/>
      <c r="C1327" s="554"/>
      <c r="D1327" s="554"/>
      <c r="E1327" s="554"/>
      <c r="F1327" s="554"/>
      <c r="G1327" s="554">
        <v>280</v>
      </c>
      <c r="H1327" s="554"/>
      <c r="I1327" s="554"/>
      <c r="J1327" s="753">
        <v>-4400</v>
      </c>
      <c r="K1327" s="754"/>
      <c r="L1327" s="754"/>
      <c r="M1327" s="754"/>
      <c r="N1327" s="754"/>
    </row>
    <row r="1328" spans="1:14" ht="13.5">
      <c r="A1328" s="749"/>
      <c r="B1328" s="576"/>
      <c r="C1328" s="541">
        <v>132</v>
      </c>
      <c r="D1328" s="541"/>
      <c r="E1328" s="541" t="s">
        <v>517</v>
      </c>
      <c r="F1328" s="541"/>
      <c r="G1328" s="541">
        <v>270</v>
      </c>
      <c r="H1328" s="541" t="s">
        <v>833</v>
      </c>
      <c r="I1328" s="541" t="s">
        <v>516</v>
      </c>
      <c r="J1328" s="750">
        <v>35550</v>
      </c>
      <c r="K1328" s="751"/>
      <c r="L1328" s="751"/>
      <c r="M1328" s="751"/>
      <c r="N1328" s="751"/>
    </row>
    <row r="1329" spans="1:14" ht="13.5">
      <c r="A1329" s="749"/>
      <c r="B1329" s="541"/>
      <c r="C1329" s="541">
        <v>132</v>
      </c>
      <c r="D1329" s="541"/>
      <c r="E1329" s="541"/>
      <c r="F1329" s="541"/>
      <c r="G1329" s="541">
        <v>270</v>
      </c>
      <c r="H1329" s="541"/>
      <c r="I1329" s="541"/>
      <c r="J1329" s="750">
        <v>35550</v>
      </c>
      <c r="K1329" s="751"/>
      <c r="L1329" s="751"/>
      <c r="M1329" s="751"/>
      <c r="N1329" s="751"/>
    </row>
    <row r="1330" spans="1:14" s="549" customFormat="1" ht="13.5">
      <c r="A1330" s="752"/>
      <c r="B1330" s="554"/>
      <c r="C1330" s="554"/>
      <c r="D1330" s="554"/>
      <c r="E1330" s="554"/>
      <c r="F1330" s="554"/>
      <c r="G1330" s="554">
        <v>270</v>
      </c>
      <c r="H1330" s="554"/>
      <c r="I1330" s="554"/>
      <c r="J1330" s="753">
        <v>35550</v>
      </c>
      <c r="K1330" s="754"/>
      <c r="L1330" s="754"/>
      <c r="M1330" s="754"/>
      <c r="N1330" s="754"/>
    </row>
    <row r="1331" spans="1:14" ht="13.5">
      <c r="A1331" s="749"/>
      <c r="B1331" s="576"/>
      <c r="C1331" s="541">
        <v>132</v>
      </c>
      <c r="D1331" s="541"/>
      <c r="E1331" s="541" t="s">
        <v>517</v>
      </c>
      <c r="F1331" s="541"/>
      <c r="G1331" s="541">
        <v>260</v>
      </c>
      <c r="H1331" s="541" t="s">
        <v>833</v>
      </c>
      <c r="I1331" s="541" t="s">
        <v>516</v>
      </c>
      <c r="J1331" s="750">
        <v>28360</v>
      </c>
      <c r="K1331" s="751"/>
      <c r="L1331" s="751"/>
      <c r="M1331" s="751"/>
      <c r="N1331" s="751"/>
    </row>
    <row r="1332" spans="1:14" ht="13.5">
      <c r="A1332" s="749"/>
      <c r="B1332" s="576"/>
      <c r="C1332" s="541">
        <v>132</v>
      </c>
      <c r="D1332" s="541"/>
      <c r="E1332" s="541" t="s">
        <v>517</v>
      </c>
      <c r="F1332" s="541"/>
      <c r="G1332" s="541">
        <v>260</v>
      </c>
      <c r="H1332" s="541" t="s">
        <v>591</v>
      </c>
      <c r="I1332" s="541" t="s">
        <v>516</v>
      </c>
      <c r="J1332" s="750">
        <v>10400</v>
      </c>
      <c r="K1332" s="751"/>
      <c r="L1332" s="751"/>
      <c r="M1332" s="751"/>
      <c r="N1332" s="751"/>
    </row>
    <row r="1333" spans="1:14" ht="13.5">
      <c r="A1333" s="749"/>
      <c r="B1333" s="541"/>
      <c r="C1333" s="541">
        <v>132</v>
      </c>
      <c r="D1333" s="541"/>
      <c r="E1333" s="541"/>
      <c r="F1333" s="541"/>
      <c r="G1333" s="541">
        <v>260</v>
      </c>
      <c r="H1333" s="541"/>
      <c r="I1333" s="541"/>
      <c r="J1333" s="750">
        <v>38760</v>
      </c>
      <c r="K1333" s="751"/>
      <c r="L1333" s="751"/>
      <c r="M1333" s="751"/>
      <c r="N1333" s="751"/>
    </row>
    <row r="1334" spans="1:14" s="549" customFormat="1" ht="13.5">
      <c r="A1334" s="752"/>
      <c r="B1334" s="554"/>
      <c r="C1334" s="554"/>
      <c r="D1334" s="554"/>
      <c r="E1334" s="554"/>
      <c r="F1334" s="554"/>
      <c r="G1334" s="554">
        <v>260</v>
      </c>
      <c r="H1334" s="554"/>
      <c r="I1334" s="554"/>
      <c r="J1334" s="753">
        <v>38760</v>
      </c>
      <c r="K1334" s="754"/>
      <c r="L1334" s="754"/>
      <c r="M1334" s="754"/>
      <c r="N1334" s="754"/>
    </row>
    <row r="1335" spans="1:14" ht="13.5">
      <c r="A1335" s="749"/>
      <c r="B1335" s="576"/>
      <c r="C1335" s="541">
        <v>132</v>
      </c>
      <c r="D1335" s="541"/>
      <c r="E1335" s="541" t="s">
        <v>517</v>
      </c>
      <c r="F1335" s="541"/>
      <c r="G1335" s="541">
        <v>250</v>
      </c>
      <c r="H1335" s="541" t="s">
        <v>833</v>
      </c>
      <c r="I1335" s="541" t="s">
        <v>516</v>
      </c>
      <c r="J1335" s="750">
        <v>24840</v>
      </c>
      <c r="K1335" s="751"/>
      <c r="L1335" s="751"/>
      <c r="M1335" s="751"/>
      <c r="N1335" s="751"/>
    </row>
    <row r="1336" spans="1:14" ht="13.5">
      <c r="A1336" s="749"/>
      <c r="B1336" s="576"/>
      <c r="C1336" s="541">
        <v>132</v>
      </c>
      <c r="D1336" s="541"/>
      <c r="E1336" s="541" t="s">
        <v>517</v>
      </c>
      <c r="F1336" s="541"/>
      <c r="G1336" s="541">
        <v>250</v>
      </c>
      <c r="H1336" s="541" t="s">
        <v>591</v>
      </c>
      <c r="I1336" s="541" t="s">
        <v>516</v>
      </c>
      <c r="J1336" s="750">
        <v>3000</v>
      </c>
      <c r="K1336" s="751"/>
      <c r="L1336" s="751"/>
      <c r="M1336" s="751"/>
      <c r="N1336" s="751"/>
    </row>
    <row r="1337" spans="1:14" ht="13.5">
      <c r="A1337" s="749"/>
      <c r="B1337" s="541"/>
      <c r="C1337" s="541">
        <v>132</v>
      </c>
      <c r="D1337" s="541"/>
      <c r="E1337" s="541"/>
      <c r="F1337" s="541"/>
      <c r="G1337" s="541">
        <v>250</v>
      </c>
      <c r="H1337" s="541"/>
      <c r="I1337" s="541"/>
      <c r="J1337" s="750">
        <v>27840</v>
      </c>
      <c r="K1337" s="751"/>
      <c r="L1337" s="751"/>
      <c r="M1337" s="751"/>
      <c r="N1337" s="751"/>
    </row>
    <row r="1338" spans="1:14" s="549" customFormat="1" ht="13.5">
      <c r="A1338" s="752"/>
      <c r="B1338" s="554"/>
      <c r="C1338" s="554"/>
      <c r="D1338" s="554"/>
      <c r="E1338" s="554"/>
      <c r="F1338" s="554"/>
      <c r="G1338" s="554">
        <v>250</v>
      </c>
      <c r="H1338" s="554"/>
      <c r="I1338" s="554"/>
      <c r="J1338" s="753">
        <v>27840</v>
      </c>
      <c r="K1338" s="754"/>
      <c r="L1338" s="754"/>
      <c r="M1338" s="754"/>
      <c r="N1338" s="754"/>
    </row>
    <row r="1339" spans="1:14" ht="13.5">
      <c r="A1339" s="749"/>
      <c r="B1339" s="576"/>
      <c r="C1339" s="541">
        <v>132</v>
      </c>
      <c r="D1339" s="541"/>
      <c r="E1339" s="541" t="s">
        <v>517</v>
      </c>
      <c r="F1339" s="541"/>
      <c r="G1339" s="541">
        <v>240</v>
      </c>
      <c r="H1339" s="541" t="s">
        <v>833</v>
      </c>
      <c r="I1339" s="541" t="s">
        <v>516</v>
      </c>
      <c r="J1339" s="750">
        <v>10721</v>
      </c>
      <c r="K1339" s="751"/>
      <c r="L1339" s="751"/>
      <c r="M1339" s="751"/>
      <c r="N1339" s="751"/>
    </row>
    <row r="1340" spans="1:14" ht="13.5">
      <c r="A1340" s="749"/>
      <c r="B1340" s="576"/>
      <c r="C1340" s="541">
        <v>132</v>
      </c>
      <c r="D1340" s="541"/>
      <c r="E1340" s="541" t="s">
        <v>517</v>
      </c>
      <c r="F1340" s="541"/>
      <c r="G1340" s="541">
        <v>240</v>
      </c>
      <c r="H1340" s="541" t="s">
        <v>591</v>
      </c>
      <c r="I1340" s="541" t="s">
        <v>516</v>
      </c>
      <c r="J1340" s="750">
        <v>1600</v>
      </c>
      <c r="K1340" s="751"/>
      <c r="L1340" s="751"/>
      <c r="M1340" s="751"/>
      <c r="N1340" s="751"/>
    </row>
    <row r="1341" spans="1:14" ht="13.5">
      <c r="A1341" s="749"/>
      <c r="B1341" s="541"/>
      <c r="C1341" s="541">
        <v>132</v>
      </c>
      <c r="D1341" s="541"/>
      <c r="E1341" s="541"/>
      <c r="F1341" s="541"/>
      <c r="G1341" s="541">
        <v>240</v>
      </c>
      <c r="H1341" s="541"/>
      <c r="I1341" s="541"/>
      <c r="J1341" s="750">
        <v>12321</v>
      </c>
      <c r="K1341" s="751"/>
      <c r="L1341" s="751"/>
      <c r="M1341" s="751"/>
      <c r="N1341" s="751"/>
    </row>
    <row r="1342" spans="1:14" s="549" customFormat="1" ht="13.5">
      <c r="A1342" s="752"/>
      <c r="B1342" s="554"/>
      <c r="C1342" s="554"/>
      <c r="D1342" s="554"/>
      <c r="E1342" s="554"/>
      <c r="F1342" s="554"/>
      <c r="G1342" s="554">
        <v>240</v>
      </c>
      <c r="H1342" s="554"/>
      <c r="I1342" s="554"/>
      <c r="J1342" s="753">
        <v>12321</v>
      </c>
      <c r="K1342" s="754"/>
      <c r="L1342" s="754"/>
      <c r="M1342" s="754"/>
      <c r="N1342" s="754"/>
    </row>
    <row r="1343" spans="1:14" ht="13.5">
      <c r="A1343" s="749"/>
      <c r="B1343" s="576"/>
      <c r="C1343" s="541">
        <v>132</v>
      </c>
      <c r="D1343" s="541"/>
      <c r="E1343" s="541" t="s">
        <v>517</v>
      </c>
      <c r="F1343" s="541"/>
      <c r="G1343" s="541">
        <v>230</v>
      </c>
      <c r="H1343" s="541" t="s">
        <v>833</v>
      </c>
      <c r="I1343" s="541" t="s">
        <v>516</v>
      </c>
      <c r="J1343" s="750">
        <v>21580</v>
      </c>
      <c r="K1343" s="751"/>
      <c r="L1343" s="751"/>
      <c r="M1343" s="751"/>
      <c r="N1343" s="751"/>
    </row>
    <row r="1344" spans="1:14" ht="13.5">
      <c r="A1344" s="749"/>
      <c r="B1344" s="576"/>
      <c r="C1344" s="541">
        <v>132</v>
      </c>
      <c r="D1344" s="541"/>
      <c r="E1344" s="541" t="s">
        <v>517</v>
      </c>
      <c r="F1344" s="541"/>
      <c r="G1344" s="541">
        <v>230</v>
      </c>
      <c r="H1344" s="541" t="s">
        <v>591</v>
      </c>
      <c r="I1344" s="541" t="s">
        <v>516</v>
      </c>
      <c r="J1344" s="750">
        <v>6300</v>
      </c>
      <c r="K1344" s="751"/>
      <c r="L1344" s="751"/>
      <c r="M1344" s="751"/>
      <c r="N1344" s="751"/>
    </row>
    <row r="1345" spans="1:14" ht="13.5">
      <c r="A1345" s="749"/>
      <c r="B1345" s="541"/>
      <c r="C1345" s="541">
        <v>132</v>
      </c>
      <c r="D1345" s="541"/>
      <c r="E1345" s="541"/>
      <c r="F1345" s="541"/>
      <c r="G1345" s="541">
        <v>230</v>
      </c>
      <c r="H1345" s="541"/>
      <c r="I1345" s="541"/>
      <c r="J1345" s="750">
        <v>27880</v>
      </c>
      <c r="K1345" s="751"/>
      <c r="L1345" s="751"/>
      <c r="M1345" s="751"/>
      <c r="N1345" s="751"/>
    </row>
    <row r="1346" spans="1:14" s="549" customFormat="1" ht="13.5">
      <c r="A1346" s="752"/>
      <c r="B1346" s="554"/>
      <c r="C1346" s="554"/>
      <c r="D1346" s="554"/>
      <c r="E1346" s="554"/>
      <c r="F1346" s="554"/>
      <c r="G1346" s="554">
        <v>230</v>
      </c>
      <c r="H1346" s="554"/>
      <c r="I1346" s="554"/>
      <c r="J1346" s="753">
        <v>27880</v>
      </c>
      <c r="K1346" s="754"/>
      <c r="L1346" s="754"/>
      <c r="M1346" s="754"/>
      <c r="N1346" s="754"/>
    </row>
    <row r="1347" spans="1:14" ht="13.5">
      <c r="A1347" s="749"/>
      <c r="B1347" s="576"/>
      <c r="C1347" s="541">
        <v>132</v>
      </c>
      <c r="D1347" s="541"/>
      <c r="E1347" s="541" t="s">
        <v>517</v>
      </c>
      <c r="F1347" s="541"/>
      <c r="G1347" s="541">
        <v>220</v>
      </c>
      <c r="H1347" s="541" t="s">
        <v>833</v>
      </c>
      <c r="I1347" s="541" t="s">
        <v>516</v>
      </c>
      <c r="J1347" s="750">
        <v>230</v>
      </c>
      <c r="K1347" s="751"/>
      <c r="L1347" s="751"/>
      <c r="M1347" s="751"/>
      <c r="N1347" s="751"/>
    </row>
    <row r="1348" spans="1:14" ht="13.5">
      <c r="A1348" s="749"/>
      <c r="B1348" s="541"/>
      <c r="C1348" s="541">
        <v>132</v>
      </c>
      <c r="D1348" s="541"/>
      <c r="E1348" s="541"/>
      <c r="F1348" s="541"/>
      <c r="G1348" s="541">
        <v>220</v>
      </c>
      <c r="H1348" s="541"/>
      <c r="I1348" s="541"/>
      <c r="J1348" s="750">
        <v>230</v>
      </c>
      <c r="K1348" s="751"/>
      <c r="L1348" s="751"/>
      <c r="M1348" s="751"/>
      <c r="N1348" s="751"/>
    </row>
    <row r="1349" spans="1:14" s="549" customFormat="1" ht="13.5">
      <c r="A1349" s="752"/>
      <c r="B1349" s="554"/>
      <c r="C1349" s="554"/>
      <c r="D1349" s="554"/>
      <c r="E1349" s="554"/>
      <c r="F1349" s="554"/>
      <c r="G1349" s="554">
        <v>220</v>
      </c>
      <c r="H1349" s="554"/>
      <c r="I1349" s="554"/>
      <c r="J1349" s="753">
        <v>230</v>
      </c>
      <c r="K1349" s="754"/>
      <c r="L1349" s="754"/>
      <c r="M1349" s="754"/>
      <c r="N1349" s="754"/>
    </row>
    <row r="1350" spans="1:14" ht="13.5">
      <c r="A1350" s="749"/>
      <c r="B1350" s="576"/>
      <c r="C1350" s="541">
        <v>132</v>
      </c>
      <c r="D1350" s="541"/>
      <c r="E1350" s="541" t="s">
        <v>517</v>
      </c>
      <c r="F1350" s="541"/>
      <c r="G1350" s="541">
        <v>210</v>
      </c>
      <c r="H1350" s="541" t="s">
        <v>833</v>
      </c>
      <c r="I1350" s="541" t="s">
        <v>516</v>
      </c>
      <c r="J1350" s="750">
        <v>35000</v>
      </c>
      <c r="K1350" s="751"/>
      <c r="L1350" s="751"/>
      <c r="M1350" s="751"/>
      <c r="N1350" s="751"/>
    </row>
    <row r="1351" spans="1:14" ht="13.5">
      <c r="A1351" s="749"/>
      <c r="B1351" s="576"/>
      <c r="C1351" s="541">
        <v>132</v>
      </c>
      <c r="D1351" s="541"/>
      <c r="E1351" s="541" t="s">
        <v>517</v>
      </c>
      <c r="F1351" s="541"/>
      <c r="G1351" s="541">
        <v>210</v>
      </c>
      <c r="H1351" s="541" t="s">
        <v>591</v>
      </c>
      <c r="I1351" s="541" t="s">
        <v>516</v>
      </c>
      <c r="J1351" s="750">
        <v>10300</v>
      </c>
      <c r="K1351" s="751"/>
      <c r="L1351" s="751"/>
      <c r="M1351" s="751"/>
      <c r="N1351" s="751"/>
    </row>
    <row r="1352" spans="1:14" ht="13.5">
      <c r="A1352" s="749"/>
      <c r="B1352" s="541"/>
      <c r="C1352" s="541">
        <v>132</v>
      </c>
      <c r="D1352" s="541"/>
      <c r="E1352" s="541"/>
      <c r="F1352" s="541"/>
      <c r="G1352" s="541">
        <v>210</v>
      </c>
      <c r="H1352" s="541"/>
      <c r="I1352" s="541"/>
      <c r="J1352" s="750">
        <v>45300</v>
      </c>
      <c r="K1352" s="751"/>
      <c r="L1352" s="751"/>
      <c r="M1352" s="751"/>
      <c r="N1352" s="751"/>
    </row>
    <row r="1353" spans="1:14" s="549" customFormat="1" ht="13.5">
      <c r="A1353" s="752"/>
      <c r="B1353" s="554"/>
      <c r="C1353" s="554"/>
      <c r="D1353" s="554"/>
      <c r="E1353" s="554"/>
      <c r="F1353" s="554"/>
      <c r="G1353" s="554">
        <v>210</v>
      </c>
      <c r="H1353" s="554"/>
      <c r="I1353" s="554"/>
      <c r="J1353" s="753">
        <v>45300</v>
      </c>
      <c r="K1353" s="754"/>
      <c r="L1353" s="754"/>
      <c r="M1353" s="754"/>
      <c r="N1353" s="754"/>
    </row>
    <row r="1354" spans="1:14" ht="13.5">
      <c r="A1354" s="749"/>
      <c r="B1354" s="576"/>
      <c r="C1354" s="541">
        <v>132</v>
      </c>
      <c r="D1354" s="541"/>
      <c r="E1354" s="541" t="s">
        <v>517</v>
      </c>
      <c r="F1354" s="541"/>
      <c r="G1354" s="541">
        <v>200</v>
      </c>
      <c r="H1354" s="541" t="s">
        <v>833</v>
      </c>
      <c r="I1354" s="541" t="s">
        <v>516</v>
      </c>
      <c r="J1354" s="750">
        <v>33300</v>
      </c>
      <c r="K1354" s="751"/>
      <c r="L1354" s="751"/>
      <c r="M1354" s="751"/>
      <c r="N1354" s="751"/>
    </row>
    <row r="1355" spans="1:14" ht="13.5">
      <c r="A1355" s="749"/>
      <c r="B1355" s="576"/>
      <c r="C1355" s="541">
        <v>132</v>
      </c>
      <c r="D1355" s="541"/>
      <c r="E1355" s="541" t="s">
        <v>517</v>
      </c>
      <c r="F1355" s="541"/>
      <c r="G1355" s="541">
        <v>200</v>
      </c>
      <c r="H1355" s="541" t="s">
        <v>591</v>
      </c>
      <c r="I1355" s="541" t="s">
        <v>516</v>
      </c>
      <c r="J1355" s="750">
        <v>6300</v>
      </c>
      <c r="K1355" s="751"/>
      <c r="L1355" s="751"/>
      <c r="M1355" s="751"/>
      <c r="N1355" s="751"/>
    </row>
    <row r="1356" spans="1:14" ht="13.5">
      <c r="A1356" s="749"/>
      <c r="B1356" s="541"/>
      <c r="C1356" s="541">
        <v>132</v>
      </c>
      <c r="D1356" s="541"/>
      <c r="E1356" s="541"/>
      <c r="F1356" s="541"/>
      <c r="G1356" s="541">
        <v>200</v>
      </c>
      <c r="H1356" s="541"/>
      <c r="I1356" s="541"/>
      <c r="J1356" s="750">
        <v>39600</v>
      </c>
      <c r="K1356" s="751"/>
      <c r="L1356" s="751"/>
      <c r="M1356" s="751"/>
      <c r="N1356" s="751"/>
    </row>
    <row r="1357" spans="1:14" s="549" customFormat="1" ht="13.5">
      <c r="A1357" s="752"/>
      <c r="B1357" s="554"/>
      <c r="C1357" s="554"/>
      <c r="D1357" s="554"/>
      <c r="E1357" s="554"/>
      <c r="F1357" s="554"/>
      <c r="G1357" s="554">
        <v>200</v>
      </c>
      <c r="H1357" s="554"/>
      <c r="I1357" s="554"/>
      <c r="J1357" s="753">
        <v>39600</v>
      </c>
      <c r="K1357" s="754"/>
      <c r="L1357" s="754"/>
      <c r="M1357" s="754"/>
      <c r="N1357" s="754"/>
    </row>
    <row r="1358" spans="1:14" ht="13.5">
      <c r="A1358" s="749"/>
      <c r="B1358" s="576"/>
      <c r="C1358" s="541">
        <v>132</v>
      </c>
      <c r="D1358" s="541"/>
      <c r="E1358" s="541" t="s">
        <v>517</v>
      </c>
      <c r="F1358" s="541"/>
      <c r="G1358" s="541">
        <v>190</v>
      </c>
      <c r="H1358" s="541" t="s">
        <v>833</v>
      </c>
      <c r="I1358" s="541" t="s">
        <v>516</v>
      </c>
      <c r="J1358" s="750">
        <v>16300</v>
      </c>
      <c r="K1358" s="751"/>
      <c r="L1358" s="751"/>
      <c r="M1358" s="751"/>
      <c r="N1358" s="751"/>
    </row>
    <row r="1359" spans="1:14" ht="13.5">
      <c r="A1359" s="749"/>
      <c r="B1359" s="576"/>
      <c r="C1359" s="541">
        <v>132</v>
      </c>
      <c r="D1359" s="541"/>
      <c r="E1359" s="541" t="s">
        <v>517</v>
      </c>
      <c r="F1359" s="541"/>
      <c r="G1359" s="541">
        <v>190</v>
      </c>
      <c r="H1359" s="541" t="s">
        <v>591</v>
      </c>
      <c r="I1359" s="541" t="s">
        <v>516</v>
      </c>
      <c r="J1359" s="750">
        <v>2500</v>
      </c>
      <c r="K1359" s="751"/>
      <c r="L1359" s="751"/>
      <c r="M1359" s="751"/>
      <c r="N1359" s="751"/>
    </row>
    <row r="1360" spans="1:14" ht="13.5">
      <c r="A1360" s="749"/>
      <c r="B1360" s="541"/>
      <c r="C1360" s="541">
        <v>132</v>
      </c>
      <c r="D1360" s="541"/>
      <c r="E1360" s="541"/>
      <c r="F1360" s="541"/>
      <c r="G1360" s="541">
        <v>190</v>
      </c>
      <c r="H1360" s="541"/>
      <c r="I1360" s="541"/>
      <c r="J1360" s="750">
        <v>18800</v>
      </c>
      <c r="K1360" s="751"/>
      <c r="L1360" s="751"/>
      <c r="M1360" s="751"/>
      <c r="N1360" s="751"/>
    </row>
    <row r="1361" spans="1:14" s="549" customFormat="1" ht="13.5">
      <c r="A1361" s="752"/>
      <c r="B1361" s="554"/>
      <c r="C1361" s="554"/>
      <c r="D1361" s="554"/>
      <c r="E1361" s="554"/>
      <c r="F1361" s="554"/>
      <c r="G1361" s="554">
        <v>190</v>
      </c>
      <c r="H1361" s="554"/>
      <c r="I1361" s="554"/>
      <c r="J1361" s="753">
        <v>18800</v>
      </c>
      <c r="K1361" s="754"/>
      <c r="L1361" s="754"/>
      <c r="M1361" s="754"/>
      <c r="N1361" s="754"/>
    </row>
    <row r="1362" spans="1:14" ht="13.5">
      <c r="A1362" s="749"/>
      <c r="B1362" s="576"/>
      <c r="C1362" s="541">
        <v>132</v>
      </c>
      <c r="D1362" s="541"/>
      <c r="E1362" s="541" t="s">
        <v>517</v>
      </c>
      <c r="F1362" s="541"/>
      <c r="G1362" s="541">
        <v>180</v>
      </c>
      <c r="H1362" s="541" t="s">
        <v>833</v>
      </c>
      <c r="I1362" s="541" t="s">
        <v>516</v>
      </c>
      <c r="J1362" s="750">
        <v>24652</v>
      </c>
      <c r="K1362" s="751"/>
      <c r="L1362" s="751"/>
      <c r="M1362" s="751"/>
      <c r="N1362" s="751"/>
    </row>
    <row r="1363" spans="1:14" ht="13.5">
      <c r="A1363" s="749"/>
      <c r="B1363" s="576"/>
      <c r="C1363" s="541">
        <v>132</v>
      </c>
      <c r="D1363" s="541"/>
      <c r="E1363" s="541" t="s">
        <v>517</v>
      </c>
      <c r="F1363" s="541"/>
      <c r="G1363" s="541">
        <v>180</v>
      </c>
      <c r="H1363" s="541" t="s">
        <v>591</v>
      </c>
      <c r="I1363" s="541" t="s">
        <v>516</v>
      </c>
      <c r="J1363" s="750">
        <v>4000</v>
      </c>
      <c r="K1363" s="751"/>
      <c r="L1363" s="751"/>
      <c r="M1363" s="751"/>
      <c r="N1363" s="751"/>
    </row>
    <row r="1364" spans="1:14" ht="13.5">
      <c r="A1364" s="749"/>
      <c r="B1364" s="541"/>
      <c r="C1364" s="541">
        <v>132</v>
      </c>
      <c r="D1364" s="541"/>
      <c r="E1364" s="541"/>
      <c r="F1364" s="541"/>
      <c r="G1364" s="541">
        <v>180</v>
      </c>
      <c r="H1364" s="541"/>
      <c r="I1364" s="541"/>
      <c r="J1364" s="750">
        <v>28652</v>
      </c>
      <c r="K1364" s="751"/>
      <c r="L1364" s="751"/>
      <c r="M1364" s="751"/>
      <c r="N1364" s="751"/>
    </row>
    <row r="1365" spans="1:14" s="549" customFormat="1" ht="13.5">
      <c r="A1365" s="752"/>
      <c r="B1365" s="554"/>
      <c r="C1365" s="554"/>
      <c r="D1365" s="554"/>
      <c r="E1365" s="554"/>
      <c r="F1365" s="554"/>
      <c r="G1365" s="554">
        <v>180</v>
      </c>
      <c r="H1365" s="554"/>
      <c r="I1365" s="554"/>
      <c r="J1365" s="753">
        <v>28652</v>
      </c>
      <c r="K1365" s="754"/>
      <c r="L1365" s="754"/>
      <c r="M1365" s="754"/>
      <c r="N1365" s="754"/>
    </row>
    <row r="1366" spans="1:14" ht="13.5">
      <c r="A1366" s="749"/>
      <c r="B1366" s="576"/>
      <c r="C1366" s="541">
        <v>132</v>
      </c>
      <c r="D1366" s="541"/>
      <c r="E1366" s="541" t="s">
        <v>517</v>
      </c>
      <c r="F1366" s="541"/>
      <c r="G1366" s="541">
        <v>170</v>
      </c>
      <c r="H1366" s="541" t="s">
        <v>833</v>
      </c>
      <c r="I1366" s="541" t="s">
        <v>516</v>
      </c>
      <c r="J1366" s="750">
        <v>28620</v>
      </c>
      <c r="K1366" s="751"/>
      <c r="L1366" s="751"/>
      <c r="M1366" s="751"/>
      <c r="N1366" s="751"/>
    </row>
    <row r="1367" spans="1:14" ht="13.5">
      <c r="A1367" s="749"/>
      <c r="B1367" s="576"/>
      <c r="C1367" s="541">
        <v>132</v>
      </c>
      <c r="D1367" s="541"/>
      <c r="E1367" s="541" t="s">
        <v>517</v>
      </c>
      <c r="F1367" s="541"/>
      <c r="G1367" s="541">
        <v>170</v>
      </c>
      <c r="H1367" s="541" t="s">
        <v>591</v>
      </c>
      <c r="I1367" s="541" t="s">
        <v>516</v>
      </c>
      <c r="J1367" s="750">
        <v>7100</v>
      </c>
      <c r="K1367" s="751"/>
      <c r="L1367" s="751"/>
      <c r="M1367" s="751"/>
      <c r="N1367" s="751"/>
    </row>
    <row r="1368" spans="1:14" ht="13.5">
      <c r="A1368" s="749"/>
      <c r="B1368" s="541"/>
      <c r="C1368" s="541">
        <v>132</v>
      </c>
      <c r="D1368" s="541"/>
      <c r="E1368" s="541"/>
      <c r="F1368" s="541"/>
      <c r="G1368" s="541">
        <v>170</v>
      </c>
      <c r="H1368" s="541"/>
      <c r="I1368" s="541"/>
      <c r="J1368" s="750">
        <v>35720</v>
      </c>
      <c r="K1368" s="751"/>
      <c r="L1368" s="751"/>
      <c r="M1368" s="751"/>
      <c r="N1368" s="751"/>
    </row>
    <row r="1369" spans="1:14" s="549" customFormat="1" ht="13.5">
      <c r="A1369" s="752"/>
      <c r="B1369" s="554"/>
      <c r="C1369" s="554"/>
      <c r="D1369" s="554"/>
      <c r="E1369" s="554"/>
      <c r="F1369" s="554"/>
      <c r="G1369" s="554">
        <v>170</v>
      </c>
      <c r="H1369" s="554"/>
      <c r="I1369" s="554"/>
      <c r="J1369" s="753">
        <v>35720</v>
      </c>
      <c r="K1369" s="754"/>
      <c r="L1369" s="754"/>
      <c r="M1369" s="754"/>
      <c r="N1369" s="754"/>
    </row>
    <row r="1370" spans="1:14" ht="13.5">
      <c r="A1370" s="749"/>
      <c r="B1370" s="576"/>
      <c r="C1370" s="541">
        <v>132</v>
      </c>
      <c r="D1370" s="541"/>
      <c r="E1370" s="541" t="s">
        <v>517</v>
      </c>
      <c r="F1370" s="541"/>
      <c r="G1370" s="541">
        <v>160</v>
      </c>
      <c r="H1370" s="541" t="s">
        <v>833</v>
      </c>
      <c r="I1370" s="541" t="s">
        <v>516</v>
      </c>
      <c r="J1370" s="750">
        <v>991</v>
      </c>
      <c r="K1370" s="751"/>
      <c r="L1370" s="751"/>
      <c r="M1370" s="751"/>
      <c r="N1370" s="751"/>
    </row>
    <row r="1371" spans="1:14" ht="13.5">
      <c r="A1371" s="749"/>
      <c r="B1371" s="541"/>
      <c r="C1371" s="541">
        <v>132</v>
      </c>
      <c r="D1371" s="541"/>
      <c r="E1371" s="541"/>
      <c r="F1371" s="541"/>
      <c r="G1371" s="541">
        <v>160</v>
      </c>
      <c r="H1371" s="541"/>
      <c r="I1371" s="541"/>
      <c r="J1371" s="750">
        <v>991</v>
      </c>
      <c r="K1371" s="751"/>
      <c r="L1371" s="751"/>
      <c r="M1371" s="751"/>
      <c r="N1371" s="751"/>
    </row>
    <row r="1372" spans="1:14" s="549" customFormat="1" ht="13.5">
      <c r="A1372" s="752"/>
      <c r="B1372" s="554"/>
      <c r="C1372" s="554"/>
      <c r="D1372" s="554"/>
      <c r="E1372" s="554"/>
      <c r="F1372" s="554"/>
      <c r="G1372" s="554">
        <v>160</v>
      </c>
      <c r="H1372" s="554"/>
      <c r="I1372" s="554"/>
      <c r="J1372" s="753">
        <v>991</v>
      </c>
      <c r="K1372" s="754"/>
      <c r="L1372" s="754"/>
      <c r="M1372" s="754"/>
      <c r="N1372" s="754"/>
    </row>
    <row r="1373" spans="1:14" ht="13.5">
      <c r="A1373" s="749"/>
      <c r="B1373" s="576"/>
      <c r="C1373" s="541">
        <v>132</v>
      </c>
      <c r="D1373" s="541"/>
      <c r="E1373" s="541" t="s">
        <v>517</v>
      </c>
      <c r="F1373" s="541"/>
      <c r="G1373" s="541">
        <v>150</v>
      </c>
      <c r="H1373" s="541" t="s">
        <v>833</v>
      </c>
      <c r="I1373" s="541" t="s">
        <v>516</v>
      </c>
      <c r="J1373" s="750">
        <v>11110</v>
      </c>
      <c r="K1373" s="751"/>
      <c r="L1373" s="751"/>
      <c r="M1373" s="751"/>
      <c r="N1373" s="751"/>
    </row>
    <row r="1374" spans="1:14" ht="13.5">
      <c r="A1374" s="749"/>
      <c r="B1374" s="541"/>
      <c r="C1374" s="541">
        <v>132</v>
      </c>
      <c r="D1374" s="541"/>
      <c r="E1374" s="541"/>
      <c r="F1374" s="541"/>
      <c r="G1374" s="541">
        <v>150</v>
      </c>
      <c r="H1374" s="541"/>
      <c r="I1374" s="541"/>
      <c r="J1374" s="750">
        <v>11110</v>
      </c>
      <c r="K1374" s="751"/>
      <c r="L1374" s="751"/>
      <c r="M1374" s="751"/>
      <c r="N1374" s="751"/>
    </row>
    <row r="1375" spans="1:14" s="549" customFormat="1" ht="13.5">
      <c r="A1375" s="752"/>
      <c r="B1375" s="554"/>
      <c r="C1375" s="554"/>
      <c r="D1375" s="554"/>
      <c r="E1375" s="554"/>
      <c r="F1375" s="554"/>
      <c r="G1375" s="554">
        <v>150</v>
      </c>
      <c r="H1375" s="554"/>
      <c r="I1375" s="554"/>
      <c r="J1375" s="753">
        <v>11110</v>
      </c>
      <c r="K1375" s="754"/>
      <c r="L1375" s="754"/>
      <c r="M1375" s="754"/>
      <c r="N1375" s="754"/>
    </row>
    <row r="1376" spans="1:14" ht="13.5">
      <c r="A1376" s="749"/>
      <c r="B1376" s="576"/>
      <c r="C1376" s="541">
        <v>132</v>
      </c>
      <c r="D1376" s="541"/>
      <c r="E1376" s="541" t="s">
        <v>517</v>
      </c>
      <c r="F1376" s="541"/>
      <c r="G1376" s="541">
        <v>140</v>
      </c>
      <c r="H1376" s="541" t="s">
        <v>833</v>
      </c>
      <c r="I1376" s="541" t="s">
        <v>516</v>
      </c>
      <c r="J1376" s="750">
        <v>720</v>
      </c>
      <c r="K1376" s="751"/>
      <c r="L1376" s="751"/>
      <c r="M1376" s="751"/>
      <c r="N1376" s="751"/>
    </row>
    <row r="1377" spans="1:14" ht="13.5">
      <c r="A1377" s="749"/>
      <c r="B1377" s="541"/>
      <c r="C1377" s="541">
        <v>132</v>
      </c>
      <c r="D1377" s="541"/>
      <c r="E1377" s="541"/>
      <c r="F1377" s="541"/>
      <c r="G1377" s="541">
        <v>140</v>
      </c>
      <c r="H1377" s="541"/>
      <c r="I1377" s="541"/>
      <c r="J1377" s="750">
        <v>720</v>
      </c>
      <c r="K1377" s="751"/>
      <c r="L1377" s="751"/>
      <c r="M1377" s="751"/>
      <c r="N1377" s="751"/>
    </row>
    <row r="1378" spans="1:14" s="549" customFormat="1" ht="13.5">
      <c r="A1378" s="752"/>
      <c r="B1378" s="554"/>
      <c r="C1378" s="554"/>
      <c r="D1378" s="554"/>
      <c r="E1378" s="554"/>
      <c r="F1378" s="554"/>
      <c r="G1378" s="554">
        <v>140</v>
      </c>
      <c r="H1378" s="554"/>
      <c r="I1378" s="554"/>
      <c r="J1378" s="753">
        <v>720</v>
      </c>
      <c r="K1378" s="754"/>
      <c r="L1378" s="754"/>
      <c r="M1378" s="754"/>
      <c r="N1378" s="754"/>
    </row>
    <row r="1379" spans="1:14" ht="13.5">
      <c r="A1379" s="749"/>
      <c r="B1379" s="576"/>
      <c r="C1379" s="541">
        <v>132</v>
      </c>
      <c r="D1379" s="541"/>
      <c r="E1379" s="541" t="s">
        <v>517</v>
      </c>
      <c r="F1379" s="541"/>
      <c r="G1379" s="541">
        <v>130</v>
      </c>
      <c r="H1379" s="541" t="s">
        <v>833</v>
      </c>
      <c r="I1379" s="541" t="s">
        <v>516</v>
      </c>
      <c r="J1379" s="750">
        <v>19670</v>
      </c>
      <c r="K1379" s="751"/>
      <c r="L1379" s="751"/>
      <c r="M1379" s="751"/>
      <c r="N1379" s="751"/>
    </row>
    <row r="1380" spans="1:14" ht="13.5">
      <c r="A1380" s="749"/>
      <c r="B1380" s="576"/>
      <c r="C1380" s="541">
        <v>132</v>
      </c>
      <c r="D1380" s="541"/>
      <c r="E1380" s="541" t="s">
        <v>517</v>
      </c>
      <c r="F1380" s="541"/>
      <c r="G1380" s="541">
        <v>130</v>
      </c>
      <c r="H1380" s="541" t="s">
        <v>591</v>
      </c>
      <c r="I1380" s="541" t="s">
        <v>516</v>
      </c>
      <c r="J1380" s="750">
        <v>7200</v>
      </c>
      <c r="K1380" s="751"/>
      <c r="L1380" s="751"/>
      <c r="M1380" s="751"/>
      <c r="N1380" s="751"/>
    </row>
    <row r="1381" spans="1:14" ht="13.5">
      <c r="A1381" s="749"/>
      <c r="B1381" s="541"/>
      <c r="C1381" s="541">
        <v>132</v>
      </c>
      <c r="D1381" s="541"/>
      <c r="E1381" s="541"/>
      <c r="F1381" s="541"/>
      <c r="G1381" s="541">
        <v>130</v>
      </c>
      <c r="H1381" s="541"/>
      <c r="I1381" s="541"/>
      <c r="J1381" s="750">
        <v>26870</v>
      </c>
      <c r="K1381" s="751"/>
      <c r="L1381" s="751"/>
      <c r="M1381" s="751"/>
      <c r="N1381" s="751"/>
    </row>
    <row r="1382" spans="1:14" s="549" customFormat="1" ht="13.5">
      <c r="A1382" s="752"/>
      <c r="B1382" s="554"/>
      <c r="C1382" s="554"/>
      <c r="D1382" s="554"/>
      <c r="E1382" s="554"/>
      <c r="F1382" s="554"/>
      <c r="G1382" s="554">
        <v>130</v>
      </c>
      <c r="H1382" s="554"/>
      <c r="I1382" s="554"/>
      <c r="J1382" s="753">
        <v>26870</v>
      </c>
      <c r="K1382" s="754"/>
      <c r="L1382" s="754"/>
      <c r="M1382" s="754"/>
      <c r="N1382" s="754"/>
    </row>
    <row r="1383" spans="1:14" ht="13.5">
      <c r="A1383" s="749"/>
      <c r="B1383" s="576"/>
      <c r="C1383" s="541">
        <v>132</v>
      </c>
      <c r="D1383" s="541"/>
      <c r="E1383" s="541" t="s">
        <v>517</v>
      </c>
      <c r="F1383" s="541"/>
      <c r="G1383" s="541">
        <v>120</v>
      </c>
      <c r="H1383" s="541" t="s">
        <v>833</v>
      </c>
      <c r="I1383" s="541" t="s">
        <v>516</v>
      </c>
      <c r="J1383" s="750">
        <v>14120</v>
      </c>
      <c r="K1383" s="751"/>
      <c r="L1383" s="751"/>
      <c r="M1383" s="751"/>
      <c r="N1383" s="751"/>
    </row>
    <row r="1384" spans="1:14" ht="13.5">
      <c r="A1384" s="749"/>
      <c r="B1384" s="541"/>
      <c r="C1384" s="541">
        <v>132</v>
      </c>
      <c r="D1384" s="541"/>
      <c r="E1384" s="541"/>
      <c r="F1384" s="541"/>
      <c r="G1384" s="541">
        <v>120</v>
      </c>
      <c r="H1384" s="541"/>
      <c r="I1384" s="541"/>
      <c r="J1384" s="750">
        <v>14120</v>
      </c>
      <c r="K1384" s="751"/>
      <c r="L1384" s="751"/>
      <c r="M1384" s="751"/>
      <c r="N1384" s="751"/>
    </row>
    <row r="1385" spans="1:14" s="549" customFormat="1" ht="13.5">
      <c r="A1385" s="752"/>
      <c r="B1385" s="554"/>
      <c r="C1385" s="554"/>
      <c r="D1385" s="554"/>
      <c r="E1385" s="554"/>
      <c r="F1385" s="554"/>
      <c r="G1385" s="554">
        <v>120</v>
      </c>
      <c r="H1385" s="554"/>
      <c r="I1385" s="554"/>
      <c r="J1385" s="753">
        <v>14120</v>
      </c>
      <c r="K1385" s="754"/>
      <c r="L1385" s="754"/>
      <c r="M1385" s="754"/>
      <c r="N1385" s="754"/>
    </row>
    <row r="1386" spans="1:14" ht="13.5">
      <c r="A1386" s="749"/>
      <c r="B1386" s="576"/>
      <c r="C1386" s="541">
        <v>132</v>
      </c>
      <c r="D1386" s="541"/>
      <c r="E1386" s="541" t="s">
        <v>517</v>
      </c>
      <c r="F1386" s="541"/>
      <c r="G1386" s="541">
        <v>110</v>
      </c>
      <c r="H1386" s="541" t="s">
        <v>833</v>
      </c>
      <c r="I1386" s="541" t="s">
        <v>516</v>
      </c>
      <c r="J1386" s="750">
        <v>24880</v>
      </c>
      <c r="K1386" s="751"/>
      <c r="L1386" s="751"/>
      <c r="M1386" s="751"/>
      <c r="N1386" s="751"/>
    </row>
    <row r="1387" spans="1:14" ht="13.5">
      <c r="A1387" s="749"/>
      <c r="B1387" s="541"/>
      <c r="C1387" s="541">
        <v>132</v>
      </c>
      <c r="D1387" s="541"/>
      <c r="E1387" s="541"/>
      <c r="F1387" s="541"/>
      <c r="G1387" s="541">
        <v>110</v>
      </c>
      <c r="H1387" s="541"/>
      <c r="I1387" s="541"/>
      <c r="J1387" s="750">
        <v>24880</v>
      </c>
      <c r="K1387" s="751"/>
      <c r="L1387" s="751"/>
      <c r="M1387" s="751"/>
      <c r="N1387" s="751"/>
    </row>
    <row r="1388" spans="1:14" s="549" customFormat="1" ht="13.5">
      <c r="A1388" s="752"/>
      <c r="B1388" s="554"/>
      <c r="C1388" s="554"/>
      <c r="D1388" s="554"/>
      <c r="E1388" s="554"/>
      <c r="F1388" s="554"/>
      <c r="G1388" s="554">
        <v>110</v>
      </c>
      <c r="H1388" s="554"/>
      <c r="I1388" s="554"/>
      <c r="J1388" s="753">
        <v>24880</v>
      </c>
      <c r="K1388" s="754"/>
      <c r="L1388" s="754"/>
      <c r="M1388" s="754"/>
      <c r="N1388" s="754"/>
    </row>
    <row r="1389" spans="1:14" ht="13.5">
      <c r="A1389" s="749"/>
      <c r="B1389" s="576"/>
      <c r="C1389" s="541">
        <v>132</v>
      </c>
      <c r="D1389" s="541"/>
      <c r="E1389" s="541" t="s">
        <v>517</v>
      </c>
      <c r="F1389" s="541"/>
      <c r="G1389" s="541">
        <v>100</v>
      </c>
      <c r="H1389" s="541" t="s">
        <v>833</v>
      </c>
      <c r="I1389" s="541" t="s">
        <v>516</v>
      </c>
      <c r="J1389" s="750">
        <v>26390</v>
      </c>
      <c r="K1389" s="751"/>
      <c r="L1389" s="751"/>
      <c r="M1389" s="751"/>
      <c r="N1389" s="751"/>
    </row>
    <row r="1390" spans="1:14" ht="13.5">
      <c r="A1390" s="749"/>
      <c r="B1390" s="576"/>
      <c r="C1390" s="541">
        <v>132</v>
      </c>
      <c r="D1390" s="541"/>
      <c r="E1390" s="541" t="s">
        <v>517</v>
      </c>
      <c r="F1390" s="541"/>
      <c r="G1390" s="541">
        <v>100</v>
      </c>
      <c r="H1390" s="541" t="s">
        <v>591</v>
      </c>
      <c r="I1390" s="541" t="s">
        <v>516</v>
      </c>
      <c r="J1390" s="750">
        <v>5900</v>
      </c>
      <c r="K1390" s="751"/>
      <c r="L1390" s="751"/>
      <c r="M1390" s="751"/>
      <c r="N1390" s="751"/>
    </row>
    <row r="1391" spans="1:14" ht="13.5">
      <c r="A1391" s="749"/>
      <c r="B1391" s="541"/>
      <c r="C1391" s="541">
        <v>132</v>
      </c>
      <c r="D1391" s="541"/>
      <c r="E1391" s="541"/>
      <c r="F1391" s="541"/>
      <c r="G1391" s="541">
        <v>100</v>
      </c>
      <c r="H1391" s="541"/>
      <c r="I1391" s="541"/>
      <c r="J1391" s="750">
        <v>32290</v>
      </c>
      <c r="K1391" s="751"/>
      <c r="L1391" s="751"/>
      <c r="M1391" s="751"/>
      <c r="N1391" s="751"/>
    </row>
    <row r="1392" spans="1:14" s="549" customFormat="1" ht="13.5">
      <c r="A1392" s="752"/>
      <c r="B1392" s="554"/>
      <c r="C1392" s="554"/>
      <c r="D1392" s="554"/>
      <c r="E1392" s="554"/>
      <c r="F1392" s="554"/>
      <c r="G1392" s="554">
        <v>100</v>
      </c>
      <c r="H1392" s="554"/>
      <c r="I1392" s="554"/>
      <c r="J1392" s="753">
        <v>32290</v>
      </c>
      <c r="K1392" s="754"/>
      <c r="L1392" s="754"/>
      <c r="M1392" s="754"/>
      <c r="N1392" s="754"/>
    </row>
    <row r="1393" spans="1:14" ht="13.5">
      <c r="A1393" s="749"/>
      <c r="B1393" s="576"/>
      <c r="C1393" s="541">
        <v>132</v>
      </c>
      <c r="D1393" s="541"/>
      <c r="E1393" s="541" t="s">
        <v>517</v>
      </c>
      <c r="F1393" s="541"/>
      <c r="G1393" s="541">
        <v>90</v>
      </c>
      <c r="H1393" s="541" t="s">
        <v>833</v>
      </c>
      <c r="I1393" s="541" t="s">
        <v>516</v>
      </c>
      <c r="J1393" s="750">
        <v>3801</v>
      </c>
      <c r="K1393" s="751"/>
      <c r="L1393" s="751"/>
      <c r="M1393" s="751"/>
      <c r="N1393" s="751"/>
    </row>
    <row r="1394" spans="1:14" ht="13.5">
      <c r="A1394" s="749"/>
      <c r="B1394" s="541"/>
      <c r="C1394" s="541">
        <v>132</v>
      </c>
      <c r="D1394" s="541"/>
      <c r="E1394" s="541"/>
      <c r="F1394" s="541"/>
      <c r="G1394" s="541">
        <v>90</v>
      </c>
      <c r="H1394" s="541"/>
      <c r="I1394" s="541"/>
      <c r="J1394" s="750">
        <v>3801</v>
      </c>
      <c r="K1394" s="751"/>
      <c r="L1394" s="751"/>
      <c r="M1394" s="751"/>
      <c r="N1394" s="751"/>
    </row>
    <row r="1395" spans="1:14" s="549" customFormat="1" ht="13.5">
      <c r="A1395" s="752"/>
      <c r="B1395" s="554"/>
      <c r="C1395" s="554"/>
      <c r="D1395" s="554"/>
      <c r="E1395" s="554"/>
      <c r="F1395" s="554"/>
      <c r="G1395" s="554">
        <v>90</v>
      </c>
      <c r="H1395" s="554"/>
      <c r="I1395" s="554"/>
      <c r="J1395" s="753">
        <v>3801</v>
      </c>
      <c r="K1395" s="754"/>
      <c r="L1395" s="754"/>
      <c r="M1395" s="754"/>
      <c r="N1395" s="754"/>
    </row>
    <row r="1396" spans="1:14" ht="13.5">
      <c r="A1396" s="749"/>
      <c r="B1396" s="576"/>
      <c r="C1396" s="541">
        <v>132</v>
      </c>
      <c r="D1396" s="541"/>
      <c r="E1396" s="541" t="s">
        <v>517</v>
      </c>
      <c r="F1396" s="541"/>
      <c r="G1396" s="541">
        <v>80</v>
      </c>
      <c r="H1396" s="541" t="s">
        <v>833</v>
      </c>
      <c r="I1396" s="541" t="s">
        <v>516</v>
      </c>
      <c r="J1396" s="750">
        <v>35220</v>
      </c>
      <c r="K1396" s="751"/>
      <c r="L1396" s="751"/>
      <c r="M1396" s="751"/>
      <c r="N1396" s="751"/>
    </row>
    <row r="1397" spans="1:14" ht="13.5">
      <c r="A1397" s="749"/>
      <c r="B1397" s="576"/>
      <c r="C1397" s="541">
        <v>132</v>
      </c>
      <c r="D1397" s="541"/>
      <c r="E1397" s="541" t="s">
        <v>517</v>
      </c>
      <c r="F1397" s="541"/>
      <c r="G1397" s="541">
        <v>80</v>
      </c>
      <c r="H1397" s="541" t="s">
        <v>591</v>
      </c>
      <c r="I1397" s="541" t="s">
        <v>516</v>
      </c>
      <c r="J1397" s="750">
        <v>8100</v>
      </c>
      <c r="K1397" s="751"/>
      <c r="L1397" s="751"/>
      <c r="M1397" s="751"/>
      <c r="N1397" s="751"/>
    </row>
    <row r="1398" spans="1:14" ht="13.5">
      <c r="A1398" s="749"/>
      <c r="B1398" s="541"/>
      <c r="C1398" s="541">
        <v>132</v>
      </c>
      <c r="D1398" s="541"/>
      <c r="E1398" s="541"/>
      <c r="F1398" s="541"/>
      <c r="G1398" s="541">
        <v>80</v>
      </c>
      <c r="H1398" s="541"/>
      <c r="I1398" s="541"/>
      <c r="J1398" s="750">
        <v>43320</v>
      </c>
      <c r="K1398" s="751"/>
      <c r="L1398" s="751"/>
      <c r="M1398" s="751"/>
      <c r="N1398" s="751"/>
    </row>
    <row r="1399" spans="1:14" s="549" customFormat="1" ht="13.5">
      <c r="A1399" s="752"/>
      <c r="B1399" s="554"/>
      <c r="C1399" s="554"/>
      <c r="D1399" s="554"/>
      <c r="E1399" s="554"/>
      <c r="F1399" s="554"/>
      <c r="G1399" s="554">
        <v>80</v>
      </c>
      <c r="H1399" s="554"/>
      <c r="I1399" s="554"/>
      <c r="J1399" s="753">
        <v>43320</v>
      </c>
      <c r="K1399" s="754"/>
      <c r="L1399" s="754"/>
      <c r="M1399" s="754"/>
      <c r="N1399" s="754"/>
    </row>
    <row r="1400" spans="1:14" ht="13.5">
      <c r="A1400" s="749"/>
      <c r="B1400" s="576"/>
      <c r="C1400" s="541">
        <v>132</v>
      </c>
      <c r="D1400" s="541"/>
      <c r="E1400" s="541" t="s">
        <v>513</v>
      </c>
      <c r="F1400" s="541"/>
      <c r="G1400" s="541">
        <v>70</v>
      </c>
      <c r="H1400" s="541" t="s">
        <v>630</v>
      </c>
      <c r="I1400" s="541" t="s">
        <v>516</v>
      </c>
      <c r="J1400" s="750">
        <v>-14300</v>
      </c>
      <c r="K1400" s="751"/>
      <c r="L1400" s="751"/>
      <c r="M1400" s="751"/>
      <c r="N1400" s="751"/>
    </row>
    <row r="1401" spans="1:14" ht="13.5">
      <c r="A1401" s="749"/>
      <c r="B1401" s="541"/>
      <c r="C1401" s="541">
        <v>132</v>
      </c>
      <c r="D1401" s="541"/>
      <c r="E1401" s="541"/>
      <c r="F1401" s="541"/>
      <c r="G1401" s="541">
        <v>70</v>
      </c>
      <c r="H1401" s="541"/>
      <c r="I1401" s="541"/>
      <c r="J1401" s="750">
        <v>-14300</v>
      </c>
      <c r="K1401" s="751"/>
      <c r="L1401" s="751"/>
      <c r="M1401" s="751"/>
      <c r="N1401" s="751"/>
    </row>
    <row r="1402" spans="1:14" s="549" customFormat="1" ht="13.5">
      <c r="A1402" s="752"/>
      <c r="B1402" s="554"/>
      <c r="C1402" s="554"/>
      <c r="D1402" s="554"/>
      <c r="E1402" s="554"/>
      <c r="F1402" s="554"/>
      <c r="G1402" s="554">
        <v>70</v>
      </c>
      <c r="H1402" s="554"/>
      <c r="I1402" s="554"/>
      <c r="J1402" s="753">
        <v>-14300</v>
      </c>
      <c r="K1402" s="754"/>
      <c r="L1402" s="754"/>
      <c r="M1402" s="754"/>
      <c r="N1402" s="754"/>
    </row>
    <row r="1403" spans="1:14" ht="13.5">
      <c r="A1403" s="749"/>
      <c r="B1403" s="576"/>
      <c r="C1403" s="541">
        <v>132</v>
      </c>
      <c r="D1403" s="541"/>
      <c r="E1403" s="541" t="s">
        <v>517</v>
      </c>
      <c r="F1403" s="541"/>
      <c r="G1403" s="541">
        <v>60</v>
      </c>
      <c r="H1403" s="541" t="s">
        <v>833</v>
      </c>
      <c r="I1403" s="541" t="s">
        <v>516</v>
      </c>
      <c r="J1403" s="750">
        <v>18520</v>
      </c>
      <c r="K1403" s="751"/>
      <c r="L1403" s="751"/>
      <c r="M1403" s="751"/>
      <c r="N1403" s="751"/>
    </row>
    <row r="1404" spans="1:14" ht="13.5">
      <c r="A1404" s="749"/>
      <c r="B1404" s="576"/>
      <c r="C1404" s="541">
        <v>132</v>
      </c>
      <c r="D1404" s="541"/>
      <c r="E1404" s="541" t="s">
        <v>517</v>
      </c>
      <c r="F1404" s="541"/>
      <c r="G1404" s="541">
        <v>60</v>
      </c>
      <c r="H1404" s="541" t="s">
        <v>591</v>
      </c>
      <c r="I1404" s="541" t="s">
        <v>516</v>
      </c>
      <c r="J1404" s="750">
        <v>5700</v>
      </c>
      <c r="K1404" s="751"/>
      <c r="L1404" s="751"/>
      <c r="M1404" s="751"/>
      <c r="N1404" s="751"/>
    </row>
    <row r="1405" spans="1:14" ht="13.5">
      <c r="A1405" s="749"/>
      <c r="B1405" s="541"/>
      <c r="C1405" s="541">
        <v>132</v>
      </c>
      <c r="D1405" s="541"/>
      <c r="E1405" s="541"/>
      <c r="F1405" s="541"/>
      <c r="G1405" s="541">
        <v>60</v>
      </c>
      <c r="H1405" s="541"/>
      <c r="I1405" s="541"/>
      <c r="J1405" s="750">
        <v>24220</v>
      </c>
      <c r="K1405" s="751"/>
      <c r="L1405" s="751"/>
      <c r="M1405" s="751"/>
      <c r="N1405" s="751"/>
    </row>
    <row r="1406" spans="1:14" s="549" customFormat="1" ht="13.5">
      <c r="A1406" s="752"/>
      <c r="B1406" s="554"/>
      <c r="C1406" s="554"/>
      <c r="D1406" s="554"/>
      <c r="E1406" s="554"/>
      <c r="F1406" s="554"/>
      <c r="G1406" s="554">
        <v>60</v>
      </c>
      <c r="H1406" s="554"/>
      <c r="I1406" s="554"/>
      <c r="J1406" s="753">
        <v>24220</v>
      </c>
      <c r="K1406" s="754"/>
      <c r="L1406" s="754"/>
      <c r="M1406" s="754"/>
      <c r="N1406" s="754"/>
    </row>
    <row r="1407" spans="1:14" ht="13.5">
      <c r="A1407" s="749"/>
      <c r="B1407" s="576"/>
      <c r="C1407" s="541">
        <v>132</v>
      </c>
      <c r="D1407" s="541"/>
      <c r="E1407" s="541" t="s">
        <v>517</v>
      </c>
      <c r="F1407" s="541"/>
      <c r="G1407" s="541">
        <v>50</v>
      </c>
      <c r="H1407" s="541" t="s">
        <v>833</v>
      </c>
      <c r="I1407" s="541" t="s">
        <v>516</v>
      </c>
      <c r="J1407" s="750">
        <v>80</v>
      </c>
      <c r="K1407" s="751"/>
      <c r="L1407" s="751"/>
      <c r="M1407" s="751"/>
      <c r="N1407" s="751"/>
    </row>
    <row r="1408" spans="1:14" ht="13.5">
      <c r="A1408" s="749"/>
      <c r="B1408" s="541"/>
      <c r="C1408" s="541">
        <v>132</v>
      </c>
      <c r="D1408" s="541"/>
      <c r="E1408" s="541"/>
      <c r="F1408" s="541"/>
      <c r="G1408" s="541">
        <v>50</v>
      </c>
      <c r="H1408" s="541"/>
      <c r="I1408" s="541"/>
      <c r="J1408" s="750">
        <v>80</v>
      </c>
      <c r="K1408" s="751"/>
      <c r="L1408" s="751"/>
      <c r="M1408" s="751"/>
      <c r="N1408" s="751"/>
    </row>
    <row r="1409" spans="1:14" s="549" customFormat="1" ht="13.5">
      <c r="A1409" s="752"/>
      <c r="B1409" s="554"/>
      <c r="C1409" s="554"/>
      <c r="D1409" s="554"/>
      <c r="E1409" s="554"/>
      <c r="F1409" s="554"/>
      <c r="G1409" s="554">
        <v>50</v>
      </c>
      <c r="H1409" s="554"/>
      <c r="I1409" s="554"/>
      <c r="J1409" s="753">
        <v>80</v>
      </c>
      <c r="K1409" s="754"/>
      <c r="L1409" s="754"/>
      <c r="M1409" s="754"/>
      <c r="N1409" s="754"/>
    </row>
    <row r="1410" spans="1:14" ht="13.5">
      <c r="A1410" s="749"/>
      <c r="B1410" s="576"/>
      <c r="C1410" s="541">
        <v>132</v>
      </c>
      <c r="D1410" s="541"/>
      <c r="E1410" s="541" t="s">
        <v>517</v>
      </c>
      <c r="F1410" s="541"/>
      <c r="G1410" s="541">
        <v>40</v>
      </c>
      <c r="H1410" s="541" t="s">
        <v>833</v>
      </c>
      <c r="I1410" s="541" t="s">
        <v>516</v>
      </c>
      <c r="J1410" s="750">
        <v>54590</v>
      </c>
      <c r="K1410" s="751"/>
      <c r="L1410" s="751"/>
      <c r="M1410" s="751"/>
      <c r="N1410" s="751"/>
    </row>
    <row r="1411" spans="1:14" ht="13.5">
      <c r="A1411" s="749"/>
      <c r="B1411" s="576"/>
      <c r="C1411" s="541">
        <v>132</v>
      </c>
      <c r="D1411" s="541"/>
      <c r="E1411" s="541" t="s">
        <v>517</v>
      </c>
      <c r="F1411" s="541"/>
      <c r="G1411" s="541">
        <v>40</v>
      </c>
      <c r="H1411" s="541" t="s">
        <v>591</v>
      </c>
      <c r="I1411" s="541" t="s">
        <v>516</v>
      </c>
      <c r="J1411" s="750">
        <v>10900</v>
      </c>
      <c r="K1411" s="751"/>
      <c r="L1411" s="751"/>
      <c r="M1411" s="751"/>
      <c r="N1411" s="751"/>
    </row>
    <row r="1412" spans="1:14" ht="13.5">
      <c r="A1412" s="749"/>
      <c r="B1412" s="541"/>
      <c r="C1412" s="541">
        <v>132</v>
      </c>
      <c r="D1412" s="541"/>
      <c r="E1412" s="541"/>
      <c r="F1412" s="541"/>
      <c r="G1412" s="541">
        <v>40</v>
      </c>
      <c r="H1412" s="541"/>
      <c r="I1412" s="541"/>
      <c r="J1412" s="750">
        <v>65490</v>
      </c>
      <c r="K1412" s="751"/>
      <c r="L1412" s="751"/>
      <c r="M1412" s="751"/>
      <c r="N1412" s="751"/>
    </row>
    <row r="1413" spans="1:14" s="549" customFormat="1" ht="13.5">
      <c r="A1413" s="752"/>
      <c r="B1413" s="554"/>
      <c r="C1413" s="554"/>
      <c r="D1413" s="554"/>
      <c r="E1413" s="554"/>
      <c r="F1413" s="554"/>
      <c r="G1413" s="554">
        <v>40</v>
      </c>
      <c r="H1413" s="554"/>
      <c r="I1413" s="554"/>
      <c r="J1413" s="753">
        <v>65490</v>
      </c>
      <c r="K1413" s="754"/>
      <c r="L1413" s="754"/>
      <c r="M1413" s="754"/>
      <c r="N1413" s="754"/>
    </row>
    <row r="1414" spans="1:14" ht="13.5">
      <c r="A1414" s="749"/>
      <c r="B1414" s="576"/>
      <c r="C1414" s="541">
        <v>132</v>
      </c>
      <c r="D1414" s="541"/>
      <c r="E1414" s="541" t="s">
        <v>517</v>
      </c>
      <c r="F1414" s="541"/>
      <c r="G1414" s="541">
        <v>20</v>
      </c>
      <c r="H1414" s="541" t="s">
        <v>833</v>
      </c>
      <c r="I1414" s="541" t="s">
        <v>516</v>
      </c>
      <c r="J1414" s="750">
        <v>24510</v>
      </c>
      <c r="K1414" s="751"/>
      <c r="L1414" s="751"/>
      <c r="M1414" s="751"/>
      <c r="N1414" s="751"/>
    </row>
    <row r="1415" spans="1:14" ht="13.5">
      <c r="A1415" s="749"/>
      <c r="B1415" s="541"/>
      <c r="C1415" s="541">
        <v>132</v>
      </c>
      <c r="D1415" s="541"/>
      <c r="E1415" s="541"/>
      <c r="F1415" s="541"/>
      <c r="G1415" s="541">
        <v>20</v>
      </c>
      <c r="H1415" s="541"/>
      <c r="I1415" s="541"/>
      <c r="J1415" s="750">
        <v>24510</v>
      </c>
      <c r="K1415" s="751"/>
      <c r="L1415" s="751"/>
      <c r="M1415" s="751"/>
      <c r="N1415" s="751"/>
    </row>
    <row r="1416" spans="1:14" s="549" customFormat="1" ht="13.5">
      <c r="A1416" s="755" t="s">
        <v>834</v>
      </c>
      <c r="B1416" s="547"/>
      <c r="C1416" s="547"/>
      <c r="D1416" s="547"/>
      <c r="E1416" s="547"/>
      <c r="F1416" s="547"/>
      <c r="G1416" s="547">
        <v>20</v>
      </c>
      <c r="H1416" s="547"/>
      <c r="I1416" s="547"/>
      <c r="J1416" s="756">
        <v>24510</v>
      </c>
      <c r="K1416" s="754"/>
      <c r="L1416" s="754"/>
      <c r="M1416" s="754"/>
      <c r="N1416" s="754"/>
    </row>
    <row r="1417" spans="1:14" ht="13.5">
      <c r="A1417" s="757"/>
      <c r="B1417" s="560"/>
      <c r="C1417" s="560"/>
      <c r="D1417" s="560"/>
      <c r="E1417" s="560"/>
      <c r="F1417" s="560"/>
      <c r="G1417" s="560"/>
      <c r="H1417" s="560"/>
      <c r="I1417" s="560"/>
      <c r="J1417" s="758"/>
      <c r="K1417" s="751"/>
      <c r="L1417" s="751"/>
      <c r="M1417" s="751"/>
      <c r="N1417" s="751"/>
    </row>
    <row r="1418" spans="1:14" ht="13.5">
      <c r="A1418" s="749">
        <v>768</v>
      </c>
      <c r="B1418" s="576">
        <v>41639</v>
      </c>
      <c r="C1418" s="541">
        <v>133</v>
      </c>
      <c r="D1418" s="541" t="s">
        <v>835</v>
      </c>
      <c r="E1418" s="541" t="s">
        <v>513</v>
      </c>
      <c r="F1418" s="543" t="s">
        <v>514</v>
      </c>
      <c r="G1418" s="541">
        <v>31</v>
      </c>
      <c r="H1418" s="541" t="s">
        <v>836</v>
      </c>
      <c r="I1418" s="541" t="s">
        <v>516</v>
      </c>
      <c r="J1418" s="750">
        <v>-100</v>
      </c>
      <c r="K1418" s="751"/>
      <c r="L1418" s="751"/>
      <c r="M1418" s="751"/>
      <c r="N1418" s="751"/>
    </row>
    <row r="1419" spans="1:14" ht="13.5">
      <c r="A1419" s="749"/>
      <c r="B1419" s="576"/>
      <c r="C1419" s="541">
        <v>133</v>
      </c>
      <c r="D1419" s="541"/>
      <c r="E1419" s="541" t="s">
        <v>513</v>
      </c>
      <c r="F1419" s="654" t="s">
        <v>518</v>
      </c>
      <c r="G1419" s="541">
        <v>31</v>
      </c>
      <c r="H1419" s="541" t="s">
        <v>837</v>
      </c>
      <c r="I1419" s="541" t="s">
        <v>516</v>
      </c>
      <c r="J1419" s="750">
        <v>-300</v>
      </c>
      <c r="K1419" s="751"/>
      <c r="L1419" s="751"/>
      <c r="M1419" s="751"/>
      <c r="N1419" s="751"/>
    </row>
    <row r="1420" spans="1:14" ht="13.5">
      <c r="A1420" s="749"/>
      <c r="B1420" s="576"/>
      <c r="C1420" s="541">
        <v>133</v>
      </c>
      <c r="D1420" s="541"/>
      <c r="E1420" s="541" t="s">
        <v>513</v>
      </c>
      <c r="F1420" s="541"/>
      <c r="G1420" s="541">
        <v>31</v>
      </c>
      <c r="H1420" s="541" t="s">
        <v>838</v>
      </c>
      <c r="I1420" s="541" t="s">
        <v>516</v>
      </c>
      <c r="J1420" s="750">
        <v>-273</v>
      </c>
      <c r="K1420" s="751"/>
      <c r="L1420" s="751"/>
      <c r="M1420" s="751"/>
      <c r="N1420" s="751"/>
    </row>
    <row r="1421" spans="1:14" ht="13.5">
      <c r="A1421" s="749"/>
      <c r="B1421" s="576"/>
      <c r="C1421" s="541">
        <v>133</v>
      </c>
      <c r="D1421" s="541"/>
      <c r="E1421" s="541" t="s">
        <v>517</v>
      </c>
      <c r="F1421" s="541"/>
      <c r="G1421" s="541">
        <v>31</v>
      </c>
      <c r="H1421" s="541" t="s">
        <v>839</v>
      </c>
      <c r="I1421" s="541" t="s">
        <v>516</v>
      </c>
      <c r="J1421" s="750">
        <v>45</v>
      </c>
      <c r="K1421" s="751"/>
      <c r="L1421" s="751"/>
      <c r="M1421" s="751"/>
      <c r="N1421" s="751"/>
    </row>
    <row r="1422" spans="1:14" ht="13.5">
      <c r="A1422" s="749"/>
      <c r="B1422" s="576"/>
      <c r="C1422" s="541">
        <v>133</v>
      </c>
      <c r="D1422" s="541"/>
      <c r="E1422" s="541" t="s">
        <v>517</v>
      </c>
      <c r="F1422" s="541"/>
      <c r="G1422" s="541">
        <v>31</v>
      </c>
      <c r="H1422" s="541" t="s">
        <v>840</v>
      </c>
      <c r="I1422" s="541" t="s">
        <v>516</v>
      </c>
      <c r="J1422" s="750">
        <v>440</v>
      </c>
      <c r="K1422" s="751"/>
      <c r="L1422" s="751"/>
      <c r="M1422" s="751"/>
      <c r="N1422" s="751"/>
    </row>
    <row r="1423" spans="1:14" ht="13.5">
      <c r="A1423" s="749"/>
      <c r="B1423" s="576"/>
      <c r="C1423" s="541">
        <v>133</v>
      </c>
      <c r="D1423" s="541"/>
      <c r="E1423" s="541" t="s">
        <v>517</v>
      </c>
      <c r="F1423" s="541"/>
      <c r="G1423" s="541">
        <v>31</v>
      </c>
      <c r="H1423" s="541" t="s">
        <v>841</v>
      </c>
      <c r="I1423" s="541" t="s">
        <v>516</v>
      </c>
      <c r="J1423" s="750">
        <v>28</v>
      </c>
      <c r="K1423" s="751"/>
      <c r="L1423" s="751"/>
      <c r="M1423" s="751"/>
      <c r="N1423" s="751"/>
    </row>
    <row r="1424" spans="1:14" ht="13.5">
      <c r="A1424" s="749"/>
      <c r="B1424" s="576"/>
      <c r="C1424" s="541">
        <v>133</v>
      </c>
      <c r="D1424" s="541"/>
      <c r="E1424" s="541" t="s">
        <v>517</v>
      </c>
      <c r="F1424" s="541"/>
      <c r="G1424" s="541">
        <v>31</v>
      </c>
      <c r="H1424" s="541" t="s">
        <v>842</v>
      </c>
      <c r="I1424" s="541" t="s">
        <v>516</v>
      </c>
      <c r="J1424" s="750">
        <v>10</v>
      </c>
      <c r="K1424" s="751"/>
      <c r="L1424" s="751"/>
      <c r="M1424" s="751"/>
      <c r="N1424" s="751"/>
    </row>
    <row r="1425" spans="1:14" ht="13.5">
      <c r="A1425" s="749"/>
      <c r="B1425" s="576"/>
      <c r="C1425" s="541">
        <v>133</v>
      </c>
      <c r="D1425" s="541"/>
      <c r="E1425" s="541" t="s">
        <v>517</v>
      </c>
      <c r="F1425" s="541"/>
      <c r="G1425" s="541">
        <v>31</v>
      </c>
      <c r="H1425" s="541" t="s">
        <v>843</v>
      </c>
      <c r="I1425" s="541" t="s">
        <v>516</v>
      </c>
      <c r="J1425" s="750">
        <v>150</v>
      </c>
      <c r="K1425" s="751"/>
      <c r="L1425" s="751"/>
      <c r="M1425" s="751"/>
      <c r="N1425" s="751"/>
    </row>
    <row r="1426" spans="1:14" s="549" customFormat="1" ht="13.5">
      <c r="A1426" s="752"/>
      <c r="B1426" s="554"/>
      <c r="C1426" s="554">
        <v>133</v>
      </c>
      <c r="D1426" s="554"/>
      <c r="E1426" s="554"/>
      <c r="F1426" s="554"/>
      <c r="G1426" s="554">
        <v>31</v>
      </c>
      <c r="H1426" s="554"/>
      <c r="I1426" s="554"/>
      <c r="J1426" s="753">
        <v>0</v>
      </c>
      <c r="K1426" s="754"/>
      <c r="L1426" s="754"/>
      <c r="M1426" s="754"/>
      <c r="N1426" s="754"/>
    </row>
    <row r="1427" spans="1:14" ht="13.5">
      <c r="A1427" s="749"/>
      <c r="B1427" s="576"/>
      <c r="C1427" s="541">
        <v>132</v>
      </c>
      <c r="D1427" s="541"/>
      <c r="E1427" s="541" t="s">
        <v>513</v>
      </c>
      <c r="F1427" s="541"/>
      <c r="G1427" s="541">
        <v>31</v>
      </c>
      <c r="H1427" s="541" t="s">
        <v>524</v>
      </c>
      <c r="I1427" s="541" t="s">
        <v>516</v>
      </c>
      <c r="J1427" s="750">
        <v>-10000</v>
      </c>
      <c r="K1427" s="751"/>
      <c r="L1427" s="751"/>
      <c r="M1427" s="751"/>
      <c r="N1427" s="751"/>
    </row>
    <row r="1428" spans="1:14" ht="13.5">
      <c r="A1428" s="749"/>
      <c r="B1428" s="576"/>
      <c r="C1428" s="541">
        <v>132</v>
      </c>
      <c r="D1428" s="541"/>
      <c r="E1428" s="541" t="s">
        <v>513</v>
      </c>
      <c r="F1428" s="541"/>
      <c r="G1428" s="541">
        <v>31</v>
      </c>
      <c r="H1428" s="541" t="s">
        <v>702</v>
      </c>
      <c r="I1428" s="541" t="s">
        <v>516</v>
      </c>
      <c r="J1428" s="750">
        <v>-22000</v>
      </c>
      <c r="K1428" s="751"/>
      <c r="L1428" s="751"/>
      <c r="M1428" s="751"/>
      <c r="N1428" s="751"/>
    </row>
    <row r="1429" spans="1:14" ht="13.5">
      <c r="A1429" s="749"/>
      <c r="B1429" s="576"/>
      <c r="C1429" s="541">
        <v>132</v>
      </c>
      <c r="D1429" s="541"/>
      <c r="E1429" s="541" t="s">
        <v>513</v>
      </c>
      <c r="F1429" s="541"/>
      <c r="G1429" s="541">
        <v>31</v>
      </c>
      <c r="H1429" s="541" t="s">
        <v>599</v>
      </c>
      <c r="I1429" s="541" t="s">
        <v>516</v>
      </c>
      <c r="J1429" s="750">
        <v>-4000</v>
      </c>
      <c r="K1429" s="751"/>
      <c r="L1429" s="751"/>
      <c r="M1429" s="751"/>
      <c r="N1429" s="751"/>
    </row>
    <row r="1430" spans="1:14" ht="13.5">
      <c r="A1430" s="749"/>
      <c r="B1430" s="576"/>
      <c r="C1430" s="541">
        <v>132</v>
      </c>
      <c r="D1430" s="541"/>
      <c r="E1430" s="541" t="s">
        <v>513</v>
      </c>
      <c r="F1430" s="541"/>
      <c r="G1430" s="541">
        <v>31</v>
      </c>
      <c r="H1430" s="541" t="s">
        <v>525</v>
      </c>
      <c r="I1430" s="541" t="s">
        <v>516</v>
      </c>
      <c r="J1430" s="750">
        <v>-15000</v>
      </c>
      <c r="K1430" s="751"/>
      <c r="L1430" s="751"/>
      <c r="M1430" s="751"/>
      <c r="N1430" s="751"/>
    </row>
    <row r="1431" spans="1:14" ht="13.5">
      <c r="A1431" s="749"/>
      <c r="B1431" s="576"/>
      <c r="C1431" s="541">
        <v>132</v>
      </c>
      <c r="D1431" s="541"/>
      <c r="E1431" s="541" t="s">
        <v>513</v>
      </c>
      <c r="F1431" s="541"/>
      <c r="G1431" s="541">
        <v>31</v>
      </c>
      <c r="H1431" s="541" t="s">
        <v>805</v>
      </c>
      <c r="I1431" s="541" t="s">
        <v>516</v>
      </c>
      <c r="J1431" s="750">
        <v>-6000</v>
      </c>
      <c r="K1431" s="751"/>
      <c r="L1431" s="751"/>
      <c r="M1431" s="751"/>
      <c r="N1431" s="751"/>
    </row>
    <row r="1432" spans="1:14" ht="13.5">
      <c r="A1432" s="749"/>
      <c r="B1432" s="576"/>
      <c r="C1432" s="541">
        <v>132</v>
      </c>
      <c r="D1432" s="541"/>
      <c r="E1432" s="541" t="s">
        <v>513</v>
      </c>
      <c r="F1432" s="541"/>
      <c r="G1432" s="541">
        <v>31</v>
      </c>
      <c r="H1432" s="541" t="s">
        <v>607</v>
      </c>
      <c r="I1432" s="541" t="s">
        <v>516</v>
      </c>
      <c r="J1432" s="750">
        <v>-12000</v>
      </c>
      <c r="K1432" s="751"/>
      <c r="L1432" s="751"/>
      <c r="M1432" s="751"/>
      <c r="N1432" s="751"/>
    </row>
    <row r="1433" spans="1:14" ht="13.5">
      <c r="A1433" s="749"/>
      <c r="B1433" s="576"/>
      <c r="C1433" s="541">
        <v>132</v>
      </c>
      <c r="D1433" s="541"/>
      <c r="E1433" s="541" t="s">
        <v>513</v>
      </c>
      <c r="F1433" s="541"/>
      <c r="G1433" s="541">
        <v>31</v>
      </c>
      <c r="H1433" s="541" t="s">
        <v>806</v>
      </c>
      <c r="I1433" s="541" t="s">
        <v>516</v>
      </c>
      <c r="J1433" s="750">
        <v>-15000</v>
      </c>
      <c r="K1433" s="751"/>
      <c r="L1433" s="751"/>
      <c r="M1433" s="751"/>
      <c r="N1433" s="751"/>
    </row>
    <row r="1434" spans="1:14" ht="13.5">
      <c r="A1434" s="749"/>
      <c r="B1434" s="576"/>
      <c r="C1434" s="541">
        <v>132</v>
      </c>
      <c r="D1434" s="541"/>
      <c r="E1434" s="541" t="s">
        <v>513</v>
      </c>
      <c r="F1434" s="541"/>
      <c r="G1434" s="541">
        <v>31</v>
      </c>
      <c r="H1434" s="541" t="s">
        <v>692</v>
      </c>
      <c r="I1434" s="541" t="s">
        <v>516</v>
      </c>
      <c r="J1434" s="750">
        <v>-10000</v>
      </c>
      <c r="K1434" s="751"/>
      <c r="L1434" s="751"/>
      <c r="M1434" s="751"/>
      <c r="N1434" s="751"/>
    </row>
    <row r="1435" spans="1:14" ht="13.5">
      <c r="A1435" s="749"/>
      <c r="B1435" s="576"/>
      <c r="C1435" s="541">
        <v>132</v>
      </c>
      <c r="D1435" s="541"/>
      <c r="E1435" s="541" t="s">
        <v>513</v>
      </c>
      <c r="F1435" s="541"/>
      <c r="G1435" s="541">
        <v>31</v>
      </c>
      <c r="H1435" s="541" t="s">
        <v>515</v>
      </c>
      <c r="I1435" s="541" t="s">
        <v>516</v>
      </c>
      <c r="J1435" s="750">
        <v>-4907</v>
      </c>
      <c r="K1435" s="751"/>
      <c r="L1435" s="751"/>
      <c r="M1435" s="751"/>
      <c r="N1435" s="751"/>
    </row>
    <row r="1436" spans="1:14" ht="13.5">
      <c r="A1436" s="749"/>
      <c r="B1436" s="576"/>
      <c r="C1436" s="541">
        <v>132</v>
      </c>
      <c r="D1436" s="541"/>
      <c r="E1436" s="541" t="s">
        <v>517</v>
      </c>
      <c r="F1436" s="541"/>
      <c r="G1436" s="541">
        <v>31</v>
      </c>
      <c r="H1436" s="541" t="s">
        <v>523</v>
      </c>
      <c r="I1436" s="541" t="s">
        <v>516</v>
      </c>
      <c r="J1436" s="750">
        <v>52000</v>
      </c>
      <c r="K1436" s="751"/>
      <c r="L1436" s="751"/>
      <c r="M1436" s="751"/>
      <c r="N1436" s="751"/>
    </row>
    <row r="1437" spans="1:14" ht="13.5">
      <c r="A1437" s="749"/>
      <c r="B1437" s="576"/>
      <c r="C1437" s="541">
        <v>132</v>
      </c>
      <c r="D1437" s="541"/>
      <c r="E1437" s="541" t="s">
        <v>517</v>
      </c>
      <c r="F1437" s="541"/>
      <c r="G1437" s="541">
        <v>31</v>
      </c>
      <c r="H1437" s="541" t="s">
        <v>696</v>
      </c>
      <c r="I1437" s="541" t="s">
        <v>516</v>
      </c>
      <c r="J1437" s="750">
        <v>1000</v>
      </c>
      <c r="K1437" s="751"/>
      <c r="L1437" s="751"/>
      <c r="M1437" s="751"/>
      <c r="N1437" s="751"/>
    </row>
    <row r="1438" spans="1:14" ht="13.5">
      <c r="A1438" s="749"/>
      <c r="B1438" s="576"/>
      <c r="C1438" s="541">
        <v>132</v>
      </c>
      <c r="D1438" s="541"/>
      <c r="E1438" s="541" t="s">
        <v>517</v>
      </c>
      <c r="F1438" s="541"/>
      <c r="G1438" s="541">
        <v>31</v>
      </c>
      <c r="H1438" s="541" t="s">
        <v>621</v>
      </c>
      <c r="I1438" s="541" t="s">
        <v>516</v>
      </c>
      <c r="J1438" s="750">
        <v>600</v>
      </c>
      <c r="K1438" s="751"/>
      <c r="L1438" s="751"/>
      <c r="M1438" s="751"/>
      <c r="N1438" s="751"/>
    </row>
    <row r="1439" spans="1:14" ht="13.5">
      <c r="A1439" s="749"/>
      <c r="B1439" s="576"/>
      <c r="C1439" s="541">
        <v>132</v>
      </c>
      <c r="D1439" s="541"/>
      <c r="E1439" s="541" t="s">
        <v>517</v>
      </c>
      <c r="F1439" s="541"/>
      <c r="G1439" s="541">
        <v>31</v>
      </c>
      <c r="H1439" s="541" t="s">
        <v>693</v>
      </c>
      <c r="I1439" s="541" t="s">
        <v>516</v>
      </c>
      <c r="J1439" s="750">
        <v>14307</v>
      </c>
      <c r="K1439" s="751"/>
      <c r="L1439" s="751"/>
      <c r="M1439" s="751"/>
      <c r="N1439" s="751"/>
    </row>
    <row r="1440" spans="1:14" ht="13.5">
      <c r="A1440" s="749"/>
      <c r="B1440" s="576"/>
      <c r="C1440" s="541">
        <v>132</v>
      </c>
      <c r="D1440" s="541"/>
      <c r="E1440" s="541" t="s">
        <v>517</v>
      </c>
      <c r="F1440" s="541"/>
      <c r="G1440" s="541">
        <v>31</v>
      </c>
      <c r="H1440" s="541" t="s">
        <v>808</v>
      </c>
      <c r="I1440" s="541" t="s">
        <v>516</v>
      </c>
      <c r="J1440" s="750">
        <v>12000</v>
      </c>
      <c r="K1440" s="751"/>
      <c r="L1440" s="751"/>
      <c r="M1440" s="751"/>
      <c r="N1440" s="751"/>
    </row>
    <row r="1441" spans="1:14" ht="13.5">
      <c r="A1441" s="749"/>
      <c r="B1441" s="576"/>
      <c r="C1441" s="541">
        <v>132</v>
      </c>
      <c r="D1441" s="541"/>
      <c r="E1441" s="541" t="s">
        <v>517</v>
      </c>
      <c r="F1441" s="541"/>
      <c r="G1441" s="541">
        <v>31</v>
      </c>
      <c r="H1441" s="541" t="s">
        <v>737</v>
      </c>
      <c r="I1441" s="541" t="s">
        <v>516</v>
      </c>
      <c r="J1441" s="750">
        <v>14000</v>
      </c>
      <c r="K1441" s="751"/>
      <c r="L1441" s="751"/>
      <c r="M1441" s="751"/>
      <c r="N1441" s="751"/>
    </row>
    <row r="1442" spans="1:14" ht="13.5">
      <c r="A1442" s="749"/>
      <c r="B1442" s="576"/>
      <c r="C1442" s="541">
        <v>132</v>
      </c>
      <c r="D1442" s="541"/>
      <c r="E1442" s="541" t="s">
        <v>517</v>
      </c>
      <c r="F1442" s="541"/>
      <c r="G1442" s="541">
        <v>31</v>
      </c>
      <c r="H1442" s="541" t="s">
        <v>654</v>
      </c>
      <c r="I1442" s="541" t="s">
        <v>516</v>
      </c>
      <c r="J1442" s="750">
        <v>5000</v>
      </c>
      <c r="K1442" s="751"/>
      <c r="L1442" s="751"/>
      <c r="M1442" s="751"/>
      <c r="N1442" s="751"/>
    </row>
    <row r="1443" spans="1:14" ht="13.5">
      <c r="A1443" s="749"/>
      <c r="B1443" s="576"/>
      <c r="C1443" s="541">
        <v>132</v>
      </c>
      <c r="D1443" s="541"/>
      <c r="E1443" s="541" t="s">
        <v>513</v>
      </c>
      <c r="F1443" s="541"/>
      <c r="G1443" s="541">
        <v>31</v>
      </c>
      <c r="H1443" s="541" t="s">
        <v>630</v>
      </c>
      <c r="I1443" s="541" t="s">
        <v>516</v>
      </c>
      <c r="J1443" s="750">
        <v>-11975</v>
      </c>
      <c r="K1443" s="751"/>
      <c r="L1443" s="751"/>
      <c r="M1443" s="751"/>
      <c r="N1443" s="751"/>
    </row>
    <row r="1444" spans="1:14" ht="13.5">
      <c r="A1444" s="749"/>
      <c r="B1444" s="576"/>
      <c r="C1444" s="541">
        <v>132</v>
      </c>
      <c r="D1444" s="541"/>
      <c r="E1444" s="541" t="s">
        <v>513</v>
      </c>
      <c r="F1444" s="541"/>
      <c r="G1444" s="541">
        <v>31</v>
      </c>
      <c r="H1444" s="541" t="s">
        <v>844</v>
      </c>
      <c r="I1444" s="541" t="s">
        <v>516</v>
      </c>
      <c r="J1444" s="750">
        <v>-221</v>
      </c>
      <c r="K1444" s="751"/>
      <c r="L1444" s="751"/>
      <c r="M1444" s="751"/>
      <c r="N1444" s="751"/>
    </row>
    <row r="1445" spans="1:14" ht="13.5">
      <c r="A1445" s="749"/>
      <c r="B1445" s="576"/>
      <c r="C1445" s="541">
        <v>132</v>
      </c>
      <c r="D1445" s="541"/>
      <c r="E1445" s="541" t="s">
        <v>517</v>
      </c>
      <c r="F1445" s="541"/>
      <c r="G1445" s="541">
        <v>31</v>
      </c>
      <c r="H1445" s="541" t="s">
        <v>845</v>
      </c>
      <c r="I1445" s="541" t="s">
        <v>516</v>
      </c>
      <c r="J1445" s="750">
        <v>12196</v>
      </c>
      <c r="K1445" s="751"/>
      <c r="L1445" s="751"/>
      <c r="M1445" s="751"/>
      <c r="N1445" s="751"/>
    </row>
    <row r="1446" spans="1:14" s="549" customFormat="1" ht="13.5">
      <c r="A1446" s="755" t="s">
        <v>846</v>
      </c>
      <c r="B1446" s="547"/>
      <c r="C1446" s="547">
        <v>132</v>
      </c>
      <c r="D1446" s="547"/>
      <c r="E1446" s="547"/>
      <c r="F1446" s="547"/>
      <c r="G1446" s="547">
        <v>31</v>
      </c>
      <c r="H1446" s="547"/>
      <c r="I1446" s="547"/>
      <c r="J1446" s="756">
        <v>0</v>
      </c>
      <c r="K1446" s="754"/>
      <c r="L1446" s="754"/>
      <c r="M1446" s="754"/>
      <c r="N1446" s="754"/>
    </row>
    <row r="1447" spans="1:14" ht="13.5">
      <c r="A1447" s="747"/>
      <c r="B1447" s="582"/>
      <c r="C1447" s="582"/>
      <c r="D1447" s="582"/>
      <c r="E1447" s="582"/>
      <c r="F1447" s="582"/>
      <c r="G1447" s="582"/>
      <c r="H1447" s="582"/>
      <c r="I1447" s="582"/>
      <c r="J1447" s="759"/>
      <c r="K1447" s="751"/>
      <c r="L1447" s="751"/>
      <c r="M1447" s="751"/>
      <c r="N1447" s="751"/>
    </row>
    <row r="1448" spans="1:14" ht="13.5">
      <c r="A1448" s="749">
        <v>770</v>
      </c>
      <c r="B1448" s="576">
        <v>41639</v>
      </c>
      <c r="C1448" s="541">
        <v>132</v>
      </c>
      <c r="D1448" s="541" t="s">
        <v>847</v>
      </c>
      <c r="E1448" s="541" t="s">
        <v>513</v>
      </c>
      <c r="F1448" s="543" t="s">
        <v>514</v>
      </c>
      <c r="G1448" s="541">
        <v>100</v>
      </c>
      <c r="H1448" s="541" t="s">
        <v>543</v>
      </c>
      <c r="I1448" s="541" t="s">
        <v>516</v>
      </c>
      <c r="J1448" s="750">
        <v>-337</v>
      </c>
      <c r="K1448" s="751"/>
      <c r="L1448" s="751"/>
      <c r="M1448" s="751"/>
      <c r="N1448" s="751"/>
    </row>
    <row r="1449" spans="1:14" ht="13.5">
      <c r="A1449" s="749"/>
      <c r="B1449" s="576"/>
      <c r="C1449" s="541">
        <v>132</v>
      </c>
      <c r="D1449" s="541"/>
      <c r="E1449" s="541" t="s">
        <v>517</v>
      </c>
      <c r="F1449" s="654" t="s">
        <v>518</v>
      </c>
      <c r="G1449" s="541">
        <v>100</v>
      </c>
      <c r="H1449" s="541" t="s">
        <v>702</v>
      </c>
      <c r="I1449" s="541" t="s">
        <v>516</v>
      </c>
      <c r="J1449" s="750">
        <v>337</v>
      </c>
      <c r="K1449" s="751"/>
      <c r="L1449" s="751"/>
      <c r="M1449" s="751"/>
      <c r="N1449" s="751"/>
    </row>
    <row r="1450" spans="1:14" ht="13.5">
      <c r="A1450" s="760" t="s">
        <v>848</v>
      </c>
      <c r="B1450" s="744"/>
      <c r="C1450" s="547">
        <v>132</v>
      </c>
      <c r="D1450" s="547"/>
      <c r="E1450" s="547"/>
      <c r="F1450" s="547"/>
      <c r="G1450" s="547">
        <v>100</v>
      </c>
      <c r="H1450" s="547"/>
      <c r="I1450" s="547"/>
      <c r="J1450" s="756">
        <v>0</v>
      </c>
      <c r="K1450" s="751"/>
      <c r="L1450" s="751"/>
      <c r="M1450" s="751"/>
      <c r="N1450" s="751"/>
    </row>
    <row r="1451" spans="1:14" ht="13.5">
      <c r="A1451" s="761"/>
      <c r="B1451" s="598"/>
      <c r="C1451" s="598"/>
      <c r="D1451" s="598"/>
      <c r="E1451" s="598"/>
      <c r="F1451" s="598"/>
      <c r="G1451" s="598"/>
      <c r="H1451" s="598"/>
      <c r="I1451" s="598"/>
      <c r="J1451" s="762"/>
      <c r="K1451" s="751"/>
      <c r="L1451" s="751"/>
      <c r="M1451" s="751"/>
      <c r="N1451" s="751"/>
    </row>
    <row r="1452" spans="1:14" ht="13.5">
      <c r="A1452" s="749">
        <v>804</v>
      </c>
      <c r="B1452" s="576">
        <v>41639</v>
      </c>
      <c r="C1452" s="541">
        <v>132</v>
      </c>
      <c r="D1452" s="541" t="s">
        <v>849</v>
      </c>
      <c r="E1452" s="541" t="s">
        <v>513</v>
      </c>
      <c r="F1452" s="543" t="s">
        <v>514</v>
      </c>
      <c r="G1452" s="541">
        <v>110</v>
      </c>
      <c r="H1452" s="541" t="s">
        <v>603</v>
      </c>
      <c r="I1452" s="541" t="s">
        <v>516</v>
      </c>
      <c r="J1452" s="750">
        <v>-430</v>
      </c>
      <c r="K1452" s="751"/>
      <c r="L1452" s="751"/>
      <c r="M1452" s="751"/>
      <c r="N1452" s="751"/>
    </row>
    <row r="1453" spans="1:14" ht="13.5">
      <c r="A1453" s="749"/>
      <c r="B1453" s="576"/>
      <c r="C1453" s="541">
        <v>132</v>
      </c>
      <c r="D1453" s="541"/>
      <c r="E1453" s="541" t="s">
        <v>517</v>
      </c>
      <c r="F1453" s="654" t="s">
        <v>518</v>
      </c>
      <c r="G1453" s="541">
        <v>110</v>
      </c>
      <c r="H1453" s="541" t="s">
        <v>677</v>
      </c>
      <c r="I1453" s="541" t="s">
        <v>516</v>
      </c>
      <c r="J1453" s="750">
        <v>430</v>
      </c>
      <c r="K1453" s="751"/>
      <c r="L1453" s="751"/>
      <c r="M1453" s="751"/>
      <c r="N1453" s="751"/>
    </row>
    <row r="1454" spans="1:14" ht="13.5">
      <c r="A1454" s="760" t="s">
        <v>850</v>
      </c>
      <c r="B1454" s="744"/>
      <c r="C1454" s="547">
        <v>132</v>
      </c>
      <c r="D1454" s="547"/>
      <c r="E1454" s="547"/>
      <c r="F1454" s="547"/>
      <c r="G1454" s="547">
        <v>110</v>
      </c>
      <c r="H1454" s="547"/>
      <c r="I1454" s="547"/>
      <c r="J1454" s="756">
        <v>0</v>
      </c>
      <c r="K1454" s="751"/>
      <c r="L1454" s="751"/>
      <c r="M1454" s="751"/>
      <c r="N1454" s="751"/>
    </row>
    <row r="1455" spans="1:14" ht="13.5">
      <c r="A1455" s="582"/>
      <c r="B1455" s="582"/>
      <c r="C1455" s="582"/>
      <c r="D1455" s="582"/>
      <c r="E1455" s="582"/>
      <c r="F1455" s="582"/>
      <c r="G1455" s="582"/>
      <c r="H1455" s="582"/>
      <c r="I1455" s="582"/>
      <c r="J1455" s="743"/>
      <c r="K1455" s="751"/>
      <c r="L1455" s="751"/>
      <c r="M1455" s="751"/>
      <c r="N1455" s="751"/>
    </row>
    <row r="1456" spans="1:14" ht="13.5">
      <c r="A1456" s="541">
        <v>805</v>
      </c>
      <c r="B1456" s="576">
        <v>41639</v>
      </c>
      <c r="C1456" s="541">
        <v>132</v>
      </c>
      <c r="D1456" s="541" t="s">
        <v>851</v>
      </c>
      <c r="E1456" s="541" t="s">
        <v>513</v>
      </c>
      <c r="F1456" s="543" t="s">
        <v>514</v>
      </c>
      <c r="G1456" s="541">
        <v>35</v>
      </c>
      <c r="H1456" s="541" t="s">
        <v>700</v>
      </c>
      <c r="I1456" s="541" t="s">
        <v>516</v>
      </c>
      <c r="J1456" s="739">
        <v>-7</v>
      </c>
      <c r="K1456" s="751"/>
      <c r="L1456" s="751"/>
      <c r="M1456" s="751"/>
      <c r="N1456" s="751"/>
    </row>
    <row r="1457" spans="1:14" ht="13.5">
      <c r="A1457" s="541"/>
      <c r="B1457" s="576"/>
      <c r="C1457" s="541"/>
      <c r="D1457" s="541"/>
      <c r="E1457" s="541" t="s">
        <v>513</v>
      </c>
      <c r="F1457" s="654" t="s">
        <v>518</v>
      </c>
      <c r="G1457" s="541">
        <v>35</v>
      </c>
      <c r="H1457" s="541" t="s">
        <v>682</v>
      </c>
      <c r="I1457" s="541" t="s">
        <v>516</v>
      </c>
      <c r="J1457" s="739">
        <v>-404</v>
      </c>
      <c r="K1457" s="751"/>
      <c r="L1457" s="751"/>
      <c r="M1457" s="751"/>
      <c r="N1457" s="751"/>
    </row>
    <row r="1458" spans="1:14" ht="13.5">
      <c r="A1458" s="541"/>
      <c r="B1458" s="576"/>
      <c r="C1458" s="541"/>
      <c r="D1458" s="541"/>
      <c r="E1458" s="541" t="s">
        <v>517</v>
      </c>
      <c r="F1458" s="541"/>
      <c r="G1458" s="541">
        <v>35</v>
      </c>
      <c r="H1458" s="541" t="s">
        <v>685</v>
      </c>
      <c r="I1458" s="541" t="s">
        <v>516</v>
      </c>
      <c r="J1458" s="739">
        <v>7</v>
      </c>
      <c r="K1458" s="751"/>
      <c r="L1458" s="751"/>
      <c r="M1458" s="751"/>
      <c r="N1458" s="751"/>
    </row>
    <row r="1459" spans="1:14" ht="13.5">
      <c r="A1459" s="541"/>
      <c r="B1459" s="576"/>
      <c r="C1459" s="541"/>
      <c r="D1459" s="541"/>
      <c r="E1459" s="541" t="s">
        <v>517</v>
      </c>
      <c r="F1459" s="541"/>
      <c r="G1459" s="541">
        <v>35</v>
      </c>
      <c r="H1459" s="541" t="s">
        <v>585</v>
      </c>
      <c r="I1459" s="541" t="s">
        <v>516</v>
      </c>
      <c r="J1459" s="739">
        <v>404</v>
      </c>
      <c r="K1459" s="751"/>
      <c r="L1459" s="751"/>
      <c r="M1459" s="751"/>
      <c r="N1459" s="751"/>
    </row>
    <row r="1460" spans="1:14" ht="13.5">
      <c r="A1460" s="554"/>
      <c r="B1460" s="554"/>
      <c r="C1460" s="554">
        <v>132</v>
      </c>
      <c r="D1460" s="554"/>
      <c r="E1460" s="554"/>
      <c r="F1460" s="554"/>
      <c r="G1460" s="554">
        <v>35</v>
      </c>
      <c r="H1460" s="554"/>
      <c r="I1460" s="554"/>
      <c r="J1460" s="740">
        <f>SUM(J1456:J1459)</f>
        <v>0</v>
      </c>
      <c r="K1460" s="751"/>
      <c r="L1460" s="751"/>
      <c r="M1460" s="751"/>
      <c r="N1460" s="751"/>
    </row>
    <row r="1461" spans="1:14" ht="13.5">
      <c r="A1461" s="554"/>
      <c r="B1461" s="554"/>
      <c r="C1461" s="541">
        <v>134</v>
      </c>
      <c r="D1461" s="541"/>
      <c r="E1461" s="541" t="s">
        <v>513</v>
      </c>
      <c r="F1461" s="541"/>
      <c r="G1461" s="541">
        <v>35</v>
      </c>
      <c r="H1461" s="541" t="s">
        <v>663</v>
      </c>
      <c r="I1461" s="541" t="s">
        <v>516</v>
      </c>
      <c r="J1461" s="739">
        <v>-1877</v>
      </c>
      <c r="K1461" s="751"/>
      <c r="L1461" s="751"/>
      <c r="M1461" s="751"/>
      <c r="N1461" s="751"/>
    </row>
    <row r="1462" spans="1:14" ht="13.5">
      <c r="A1462" s="554"/>
      <c r="B1462" s="554"/>
      <c r="C1462" s="541">
        <v>134</v>
      </c>
      <c r="D1462" s="541"/>
      <c r="E1462" s="541" t="s">
        <v>517</v>
      </c>
      <c r="F1462" s="541"/>
      <c r="G1462" s="541">
        <v>35</v>
      </c>
      <c r="H1462" s="541" t="s">
        <v>729</v>
      </c>
      <c r="I1462" s="541" t="s">
        <v>516</v>
      </c>
      <c r="J1462" s="739">
        <v>1877</v>
      </c>
      <c r="K1462" s="751"/>
      <c r="L1462" s="751"/>
      <c r="M1462" s="751"/>
      <c r="N1462" s="751"/>
    </row>
    <row r="1463" spans="1:14" ht="13.5">
      <c r="A1463" s="554"/>
      <c r="B1463" s="554"/>
      <c r="C1463" s="554">
        <v>134</v>
      </c>
      <c r="D1463" s="554"/>
      <c r="E1463" s="554"/>
      <c r="F1463" s="554"/>
      <c r="G1463" s="554">
        <v>35</v>
      </c>
      <c r="H1463" s="554"/>
      <c r="I1463" s="554"/>
      <c r="J1463" s="740">
        <f>SUM(J1461:J1462)</f>
        <v>0</v>
      </c>
      <c r="K1463" s="751"/>
      <c r="L1463" s="751"/>
      <c r="M1463" s="751"/>
      <c r="N1463" s="751"/>
    </row>
    <row r="1464" spans="1:14" ht="13.5">
      <c r="A1464" s="541"/>
      <c r="B1464" s="576"/>
      <c r="C1464" s="541">
        <v>136</v>
      </c>
      <c r="D1464" s="541"/>
      <c r="E1464" s="541" t="s">
        <v>513</v>
      </c>
      <c r="F1464" s="541"/>
      <c r="G1464" s="541">
        <v>35</v>
      </c>
      <c r="H1464" s="541" t="s">
        <v>725</v>
      </c>
      <c r="I1464" s="541" t="s">
        <v>516</v>
      </c>
      <c r="J1464" s="739">
        <v>-11</v>
      </c>
      <c r="K1464" s="751"/>
      <c r="L1464" s="751"/>
      <c r="M1464" s="751"/>
      <c r="N1464" s="751"/>
    </row>
    <row r="1465" spans="1:14" ht="13.5">
      <c r="A1465" s="541"/>
      <c r="B1465" s="576"/>
      <c r="C1465" s="541">
        <v>136</v>
      </c>
      <c r="D1465" s="541"/>
      <c r="E1465" s="541" t="s">
        <v>517</v>
      </c>
      <c r="F1465" s="541"/>
      <c r="G1465" s="541">
        <v>35</v>
      </c>
      <c r="H1465" s="541" t="s">
        <v>687</v>
      </c>
      <c r="I1465" s="541" t="s">
        <v>516</v>
      </c>
      <c r="J1465" s="739">
        <v>11</v>
      </c>
      <c r="K1465" s="751"/>
      <c r="L1465" s="751"/>
      <c r="M1465" s="751"/>
      <c r="N1465" s="751"/>
    </row>
    <row r="1466" spans="1:10" ht="14.25" thickBot="1">
      <c r="A1466" s="763" t="s">
        <v>852</v>
      </c>
      <c r="B1466" s="764"/>
      <c r="C1466" s="765">
        <v>136</v>
      </c>
      <c r="D1466" s="765"/>
      <c r="E1466" s="765"/>
      <c r="F1466" s="765"/>
      <c r="G1466" s="765">
        <v>35</v>
      </c>
      <c r="H1466" s="765"/>
      <c r="I1466" s="765"/>
      <c r="J1466" s="766">
        <f>SUM(J1464:J1465)</f>
        <v>0</v>
      </c>
    </row>
  </sheetData>
  <sheetProtection/>
  <printOptions horizontalCentered="1"/>
  <pageMargins left="0" right="0" top="0.1968503937007874" bottom="0.1968503937007874" header="0" footer="0"/>
  <pageSetup fitToHeight="0" fitToWidth="1" orientation="portrait" paperSize="9" scale="6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5"/>
  <sheetViews>
    <sheetView zoomScalePageLayoutView="0" workbookViewId="0" topLeftCell="A1">
      <pane xSplit="2" ySplit="5" topLeftCell="C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4" sqref="A4"/>
    </sheetView>
  </sheetViews>
  <sheetFormatPr defaultColWidth="9.140625" defaultRowHeight="14.25" customHeight="1"/>
  <cols>
    <col min="1" max="1" width="7.00390625" style="1" customWidth="1"/>
    <col min="2" max="2" width="70.7109375" style="1" customWidth="1"/>
    <col min="3" max="14" width="11.7109375" style="1" customWidth="1"/>
    <col min="15" max="15" width="14.7109375" style="1" customWidth="1"/>
    <col min="16" max="16" width="16.28125" style="1" customWidth="1"/>
    <col min="17" max="16384" width="9.140625" style="1" customWidth="1"/>
  </cols>
  <sheetData>
    <row r="3" ht="14.25" customHeight="1">
      <c r="A3" s="77" t="s">
        <v>241</v>
      </c>
    </row>
    <row r="4" ht="14.25" customHeight="1">
      <c r="O4" s="2" t="s">
        <v>3</v>
      </c>
    </row>
    <row r="5" spans="1:15" ht="33.75" customHeight="1">
      <c r="A5" s="14" t="s">
        <v>57</v>
      </c>
      <c r="B5" s="6" t="s">
        <v>1</v>
      </c>
      <c r="C5" s="15" t="s">
        <v>71</v>
      </c>
      <c r="D5" s="15" t="s">
        <v>72</v>
      </c>
      <c r="E5" s="15" t="s">
        <v>89</v>
      </c>
      <c r="F5" s="15" t="s">
        <v>90</v>
      </c>
      <c r="G5" s="15" t="s">
        <v>91</v>
      </c>
      <c r="H5" s="15" t="s">
        <v>92</v>
      </c>
      <c r="I5" s="15" t="s">
        <v>94</v>
      </c>
      <c r="J5" s="15" t="s">
        <v>95</v>
      </c>
      <c r="K5" s="15" t="s">
        <v>96</v>
      </c>
      <c r="L5" s="15" t="s">
        <v>97</v>
      </c>
      <c r="M5" s="15" t="s">
        <v>98</v>
      </c>
      <c r="N5" s="15" t="s">
        <v>152</v>
      </c>
      <c r="O5" s="15" t="s">
        <v>153</v>
      </c>
    </row>
    <row r="6" spans="1:16" ht="18.75" customHeight="1">
      <c r="A6" s="3"/>
      <c r="B6" s="11" t="s">
        <v>86</v>
      </c>
      <c r="C6" s="78">
        <f aca="true" t="shared" si="0" ref="C6:H6">+C9+C10+C11+C12+C13+C14+C15+C16+C17+C18+C19+C20</f>
        <v>556269</v>
      </c>
      <c r="D6" s="78">
        <f t="shared" si="0"/>
        <v>635742</v>
      </c>
      <c r="E6" s="78">
        <f t="shared" si="0"/>
        <v>466148</v>
      </c>
      <c r="F6" s="78">
        <f t="shared" si="0"/>
        <v>501072</v>
      </c>
      <c r="G6" s="78">
        <f t="shared" si="0"/>
        <v>504447</v>
      </c>
      <c r="H6" s="78">
        <f t="shared" si="0"/>
        <v>506014</v>
      </c>
      <c r="I6" s="78">
        <f>+I9+I10+I11+I12+I13+I14+I15+I16+I17+I18+I19+I20</f>
        <v>532583</v>
      </c>
      <c r="J6" s="78">
        <f>+J9+J10+J11+J12+J13+J14+J15+J16+J17+J18+J19+J20</f>
        <v>511462</v>
      </c>
      <c r="K6" s="78">
        <f>+K9+K10+K11+K12+K13+K14+K15+K16+K17+K18+K19+K20</f>
        <v>504104</v>
      </c>
      <c r="L6" s="78">
        <f>+L9+L10+L11+L12+L13+L14+L15+L16+L17+L18+L19+L20</f>
        <v>520508</v>
      </c>
      <c r="M6" s="78">
        <f>+M9+M10+M11+M12+M13+M14+M15+M16+M17+M18+M19+M20</f>
        <v>510362</v>
      </c>
      <c r="N6" s="78">
        <f>+N9+N10+N11+N12+N13+N14+N15+N16+N17+N18+N19+N20</f>
        <v>623140</v>
      </c>
      <c r="O6" s="78">
        <f>SUM(C6:N6)</f>
        <v>6371851</v>
      </c>
      <c r="P6" s="9"/>
    </row>
    <row r="7" spans="1:17" ht="18.75" customHeight="1">
      <c r="A7" s="4"/>
      <c r="B7" s="11" t="s">
        <v>87</v>
      </c>
      <c r="C7" s="78">
        <f>+C9+C10+C11+C14+C15+C16+C18+C19+C20</f>
        <v>524712</v>
      </c>
      <c r="D7" s="78">
        <f>+D9+D10+D11+D14+D15+D16+D18+D19+D20</f>
        <v>617731</v>
      </c>
      <c r="E7" s="78">
        <f aca="true" t="shared" si="1" ref="E7:J7">+E9+E10+E11+E14+E15+E16+E18+E19+E20</f>
        <v>451288</v>
      </c>
      <c r="F7" s="78">
        <f t="shared" si="1"/>
        <v>490113</v>
      </c>
      <c r="G7" s="78">
        <f t="shared" si="1"/>
        <v>487295</v>
      </c>
      <c r="H7" s="78">
        <f t="shared" si="1"/>
        <v>485651</v>
      </c>
      <c r="I7" s="78">
        <f t="shared" si="1"/>
        <v>510779</v>
      </c>
      <c r="J7" s="78">
        <f t="shared" si="1"/>
        <v>492051</v>
      </c>
      <c r="K7" s="78">
        <f>+K9+K10+K11+K14+K15+K16+K18+K19+K20</f>
        <v>483538</v>
      </c>
      <c r="L7" s="78">
        <f>+L9+L10+L11+L14+L15+L16+L18+L19+L20</f>
        <v>497945</v>
      </c>
      <c r="M7" s="78">
        <f>+M9+M10+M11+M14+M15+M16+M18+M19+M20</f>
        <v>490324</v>
      </c>
      <c r="N7" s="78">
        <f>+N9+N10+N11+N14+N15+N16+N18+N19+N20</f>
        <v>601858</v>
      </c>
      <c r="O7" s="78">
        <f aca="true" t="shared" si="2" ref="O7:O20">SUM(C7:N7)</f>
        <v>6133285</v>
      </c>
      <c r="P7" s="9"/>
      <c r="Q7" s="5"/>
    </row>
    <row r="8" spans="1:16" ht="18.75" customHeight="1">
      <c r="A8" s="4"/>
      <c r="B8" s="11" t="s">
        <v>70</v>
      </c>
      <c r="C8" s="78">
        <f>+C9+C10+C11+C12+C13+C14+C18</f>
        <v>451707</v>
      </c>
      <c r="D8" s="78">
        <f>+D9+D10+D11+D12+D13+D14+D18</f>
        <v>453534</v>
      </c>
      <c r="E8" s="78">
        <f>+E9+E10+E11+E12+E13+E14+E18</f>
        <v>443416</v>
      </c>
      <c r="F8" s="78">
        <f>+F9+F10+F11+F12+F13+F14+F18</f>
        <v>477329</v>
      </c>
      <c r="G8" s="78">
        <f>+G9+G10+G11+G12+G13+G14+G18</f>
        <v>480751</v>
      </c>
      <c r="H8" s="78">
        <f>+H9+H10+H11+H12+H13+H14+H18</f>
        <v>482171</v>
      </c>
      <c r="I8" s="78">
        <f>+I9+I10+I11+I12+I13+I14+I18</f>
        <v>509858</v>
      </c>
      <c r="J8" s="78">
        <f>+J9+J10+J11+J12+J13+J14+J18</f>
        <v>489040</v>
      </c>
      <c r="K8" s="78">
        <f>+K9+K10+K11+K12+K13+K14+K18</f>
        <v>481644</v>
      </c>
      <c r="L8" s="78">
        <f>+L9+L10+L11+L12+L13+L14+L18</f>
        <v>497426</v>
      </c>
      <c r="M8" s="78">
        <f>+M9+M10+M11+M12+M13+M14+M18</f>
        <v>486306</v>
      </c>
      <c r="N8" s="78">
        <f>+N9+N10+N11+N12+N13+N14+N18</f>
        <v>599870</v>
      </c>
      <c r="O8" s="78">
        <f t="shared" si="2"/>
        <v>5853052</v>
      </c>
      <c r="P8" s="9"/>
    </row>
    <row r="9" spans="1:17" ht="18.75" customHeight="1">
      <c r="A9" s="6" t="s">
        <v>58</v>
      </c>
      <c r="B9" s="7" t="s">
        <v>59</v>
      </c>
      <c r="C9" s="78">
        <v>395121</v>
      </c>
      <c r="D9" s="78">
        <v>411758</v>
      </c>
      <c r="E9" s="78">
        <v>402717</v>
      </c>
      <c r="F9" s="78">
        <v>440507</v>
      </c>
      <c r="G9" s="78">
        <v>437064</v>
      </c>
      <c r="H9" s="78">
        <v>437515</v>
      </c>
      <c r="I9" s="78">
        <v>460216</v>
      </c>
      <c r="J9" s="78">
        <v>440694</v>
      </c>
      <c r="K9" s="78">
        <v>432505</v>
      </c>
      <c r="L9" s="78">
        <v>445896</v>
      </c>
      <c r="M9" s="78">
        <v>438207</v>
      </c>
      <c r="N9" s="78">
        <v>548103</v>
      </c>
      <c r="O9" s="78">
        <f t="shared" si="2"/>
        <v>5290303</v>
      </c>
      <c r="P9" s="9"/>
      <c r="Q9" s="5"/>
    </row>
    <row r="10" spans="1:17" ht="18.75" customHeight="1">
      <c r="A10" s="6" t="s">
        <v>60</v>
      </c>
      <c r="B10" s="7" t="s">
        <v>61</v>
      </c>
      <c r="C10" s="78">
        <v>21825</v>
      </c>
      <c r="D10" s="78">
        <v>24195</v>
      </c>
      <c r="E10" s="78">
        <v>24019</v>
      </c>
      <c r="F10" s="78">
        <v>25225</v>
      </c>
      <c r="G10" s="78">
        <v>25562</v>
      </c>
      <c r="H10" s="78">
        <v>24035</v>
      </c>
      <c r="I10" s="78">
        <v>25937</v>
      </c>
      <c r="J10" s="78">
        <v>27560</v>
      </c>
      <c r="K10" s="78">
        <v>27129</v>
      </c>
      <c r="L10" s="78">
        <v>28056</v>
      </c>
      <c r="M10" s="78">
        <v>27458</v>
      </c>
      <c r="N10" s="78">
        <v>29415</v>
      </c>
      <c r="O10" s="78">
        <f t="shared" si="2"/>
        <v>310416</v>
      </c>
      <c r="P10" s="10"/>
      <c r="Q10" s="5"/>
    </row>
    <row r="11" spans="1:17" ht="18.75" customHeight="1">
      <c r="A11" s="6" t="s">
        <v>62</v>
      </c>
      <c r="B11" s="7" t="s">
        <v>63</v>
      </c>
      <c r="C11" s="78">
        <v>1290</v>
      </c>
      <c r="D11" s="78">
        <v>1391</v>
      </c>
      <c r="E11" s="78">
        <v>1357</v>
      </c>
      <c r="F11" s="78">
        <v>1467</v>
      </c>
      <c r="G11" s="78">
        <v>1480</v>
      </c>
      <c r="H11" s="78">
        <v>1413</v>
      </c>
      <c r="I11" s="78">
        <v>1523</v>
      </c>
      <c r="J11" s="78">
        <v>1432</v>
      </c>
      <c r="K11" s="78">
        <v>1404</v>
      </c>
      <c r="L11" s="78">
        <v>1374</v>
      </c>
      <c r="M11" s="78">
        <v>1373</v>
      </c>
      <c r="N11" s="78">
        <v>1387</v>
      </c>
      <c r="O11" s="78">
        <f t="shared" si="2"/>
        <v>16891</v>
      </c>
      <c r="P11" s="10"/>
      <c r="Q11" s="5"/>
    </row>
    <row r="12" spans="1:17" ht="18.75" customHeight="1">
      <c r="A12" s="6" t="s">
        <v>73</v>
      </c>
      <c r="B12" s="7" t="s">
        <v>83</v>
      </c>
      <c r="C12" s="78">
        <v>957</v>
      </c>
      <c r="D12" s="78">
        <v>902</v>
      </c>
      <c r="E12" s="78">
        <v>936</v>
      </c>
      <c r="F12" s="78">
        <v>1206</v>
      </c>
      <c r="G12" s="78">
        <v>1308</v>
      </c>
      <c r="H12" s="78">
        <v>1192</v>
      </c>
      <c r="I12" s="78">
        <v>2114</v>
      </c>
      <c r="J12" s="78">
        <v>1203</v>
      </c>
      <c r="K12" s="78">
        <v>1422</v>
      </c>
      <c r="L12" s="78">
        <v>1040</v>
      </c>
      <c r="M12" s="78">
        <v>1111</v>
      </c>
      <c r="N12" s="78">
        <v>1254</v>
      </c>
      <c r="O12" s="78">
        <f t="shared" si="2"/>
        <v>14645</v>
      </c>
      <c r="P12" s="10"/>
      <c r="Q12" s="5"/>
    </row>
    <row r="13" spans="1:17" ht="18.75" customHeight="1">
      <c r="A13" s="6" t="s">
        <v>74</v>
      </c>
      <c r="B13" s="7" t="s">
        <v>64</v>
      </c>
      <c r="C13" s="78">
        <v>29913</v>
      </c>
      <c r="D13" s="78">
        <v>14656</v>
      </c>
      <c r="E13" s="78">
        <v>13285</v>
      </c>
      <c r="F13" s="78">
        <v>8254</v>
      </c>
      <c r="G13" s="78">
        <v>14453</v>
      </c>
      <c r="H13" s="78">
        <v>17390</v>
      </c>
      <c r="I13" s="78">
        <v>18886</v>
      </c>
      <c r="J13" s="78">
        <v>17666</v>
      </c>
      <c r="K13" s="78">
        <v>18567</v>
      </c>
      <c r="L13" s="78">
        <v>20486</v>
      </c>
      <c r="M13" s="78">
        <v>17336</v>
      </c>
      <c r="N13" s="78">
        <v>18607</v>
      </c>
      <c r="O13" s="78">
        <f t="shared" si="2"/>
        <v>209499</v>
      </c>
      <c r="P13" s="10"/>
      <c r="Q13" s="5"/>
    </row>
    <row r="14" spans="1:17" ht="18.75" customHeight="1">
      <c r="A14" s="6" t="s">
        <v>75</v>
      </c>
      <c r="B14" s="7" t="s">
        <v>65</v>
      </c>
      <c r="C14" s="78">
        <v>2454</v>
      </c>
      <c r="D14" s="78">
        <v>554</v>
      </c>
      <c r="E14" s="78">
        <v>1026</v>
      </c>
      <c r="F14" s="78">
        <v>592</v>
      </c>
      <c r="G14" s="78">
        <v>798</v>
      </c>
      <c r="H14" s="78">
        <v>550</v>
      </c>
      <c r="I14" s="78">
        <v>1095</v>
      </c>
      <c r="J14" s="78">
        <v>398</v>
      </c>
      <c r="K14" s="78">
        <v>550</v>
      </c>
      <c r="L14" s="78">
        <v>497</v>
      </c>
      <c r="M14" s="78">
        <v>735</v>
      </c>
      <c r="N14" s="78">
        <v>1020</v>
      </c>
      <c r="O14" s="78">
        <f t="shared" si="2"/>
        <v>10269</v>
      </c>
      <c r="P14" s="10"/>
      <c r="Q14" s="5"/>
    </row>
    <row r="15" spans="1:17" ht="18.75" customHeight="1">
      <c r="A15" s="6" t="s">
        <v>76</v>
      </c>
      <c r="B15" s="7" t="s">
        <v>66</v>
      </c>
      <c r="C15" s="78">
        <v>21830</v>
      </c>
      <c r="D15" s="78">
        <v>21831</v>
      </c>
      <c r="E15" s="78">
        <v>21830</v>
      </c>
      <c r="F15" s="78">
        <v>21948</v>
      </c>
      <c r="G15" s="78">
        <v>22090</v>
      </c>
      <c r="H15" s="78">
        <v>21831</v>
      </c>
      <c r="I15" s="78">
        <v>21701</v>
      </c>
      <c r="J15" s="78">
        <v>21664</v>
      </c>
      <c r="K15" s="78">
        <v>21665</v>
      </c>
      <c r="L15" s="78">
        <v>21831</v>
      </c>
      <c r="M15" s="78">
        <v>22248</v>
      </c>
      <c r="N15" s="78">
        <v>21616</v>
      </c>
      <c r="O15" s="78">
        <f t="shared" si="2"/>
        <v>262085</v>
      </c>
      <c r="P15" s="10"/>
      <c r="Q15" s="5"/>
    </row>
    <row r="16" spans="1:17" ht="18.75" customHeight="1">
      <c r="A16" s="6" t="s">
        <v>77</v>
      </c>
      <c r="B16" s="8" t="s">
        <v>67</v>
      </c>
      <c r="C16" s="78">
        <v>184</v>
      </c>
      <c r="D16" s="78">
        <v>214</v>
      </c>
      <c r="E16" s="78">
        <v>193</v>
      </c>
      <c r="F16" s="78">
        <v>214</v>
      </c>
      <c r="G16" s="78">
        <v>206</v>
      </c>
      <c r="H16" s="78">
        <v>217</v>
      </c>
      <c r="I16" s="78">
        <v>201</v>
      </c>
      <c r="J16" s="78">
        <v>205</v>
      </c>
      <c r="K16" s="78">
        <v>213</v>
      </c>
      <c r="L16" s="78">
        <v>208</v>
      </c>
      <c r="M16" s="78">
        <v>207</v>
      </c>
      <c r="N16" s="78">
        <v>228</v>
      </c>
      <c r="O16" s="78">
        <f t="shared" si="2"/>
        <v>2490</v>
      </c>
      <c r="P16" s="10"/>
      <c r="Q16" s="5"/>
    </row>
    <row r="17" spans="1:17" ht="18.75" customHeight="1">
      <c r="A17" s="6" t="s">
        <v>78</v>
      </c>
      <c r="B17" s="7" t="s">
        <v>88</v>
      </c>
      <c r="C17" s="78">
        <v>687</v>
      </c>
      <c r="D17" s="78">
        <v>2453</v>
      </c>
      <c r="E17" s="78">
        <v>639</v>
      </c>
      <c r="F17" s="78">
        <f>1500-1</f>
        <v>1499</v>
      </c>
      <c r="G17" s="78">
        <v>1391</v>
      </c>
      <c r="H17" s="78">
        <f>1772+9</f>
        <v>1781</v>
      </c>
      <c r="I17" s="78">
        <f>786+18</f>
        <v>804</v>
      </c>
      <c r="J17" s="78">
        <f>536+6</f>
        <v>542</v>
      </c>
      <c r="K17" s="78">
        <v>577</v>
      </c>
      <c r="L17" s="78">
        <f>1028+9</f>
        <v>1037</v>
      </c>
      <c r="M17" s="78">
        <f>1583+8</f>
        <v>1591</v>
      </c>
      <c r="N17" s="78">
        <f>1409+12</f>
        <v>1421</v>
      </c>
      <c r="O17" s="78">
        <f t="shared" si="2"/>
        <v>14422</v>
      </c>
      <c r="P17" s="10"/>
      <c r="Q17" s="5"/>
    </row>
    <row r="18" spans="1:17" ht="18.75" customHeight="1">
      <c r="A18" s="6" t="s">
        <v>79</v>
      </c>
      <c r="B18" s="7" t="s">
        <v>68</v>
      </c>
      <c r="C18" s="78">
        <f>139+8</f>
        <v>147</v>
      </c>
      <c r="D18" s="78">
        <f>77+1</f>
        <v>78</v>
      </c>
      <c r="E18" s="78">
        <v>76</v>
      </c>
      <c r="F18" s="78">
        <v>78</v>
      </c>
      <c r="G18" s="78">
        <v>86</v>
      </c>
      <c r="H18" s="78">
        <v>76</v>
      </c>
      <c r="I18" s="78">
        <f>85+2</f>
        <v>87</v>
      </c>
      <c r="J18" s="78">
        <v>87</v>
      </c>
      <c r="K18" s="78">
        <v>67</v>
      </c>
      <c r="L18" s="78">
        <f>76+1</f>
        <v>77</v>
      </c>
      <c r="M18" s="78">
        <f>84+2</f>
        <v>86</v>
      </c>
      <c r="N18" s="78">
        <f>81+3</f>
        <v>84</v>
      </c>
      <c r="O18" s="78">
        <f t="shared" si="2"/>
        <v>1029</v>
      </c>
      <c r="P18" s="10"/>
      <c r="Q18" s="5"/>
    </row>
    <row r="19" spans="1:17" ht="18.75" customHeight="1">
      <c r="A19" s="6" t="s">
        <v>80</v>
      </c>
      <c r="B19" s="7" t="s">
        <v>69</v>
      </c>
      <c r="C19" s="78">
        <v>6</v>
      </c>
      <c r="D19" s="78">
        <v>5</v>
      </c>
      <c r="E19" s="78">
        <v>5</v>
      </c>
      <c r="F19" s="78">
        <v>5</v>
      </c>
      <c r="G19" s="78">
        <v>6</v>
      </c>
      <c r="H19" s="78">
        <v>5</v>
      </c>
      <c r="I19" s="78">
        <v>6</v>
      </c>
      <c r="J19" s="78">
        <v>5</v>
      </c>
      <c r="K19" s="78">
        <v>5</v>
      </c>
      <c r="L19" s="78">
        <v>5</v>
      </c>
      <c r="M19" s="78">
        <v>5</v>
      </c>
      <c r="N19" s="78">
        <v>5</v>
      </c>
      <c r="O19" s="78">
        <f t="shared" si="2"/>
        <v>63</v>
      </c>
      <c r="P19" s="10"/>
      <c r="Q19" s="5"/>
    </row>
    <row r="20" spans="1:16" ht="18.75" customHeight="1">
      <c r="A20" s="6" t="s">
        <v>81</v>
      </c>
      <c r="B20" s="7" t="s">
        <v>82</v>
      </c>
      <c r="C20" s="80">
        <v>81855</v>
      </c>
      <c r="D20" s="80">
        <f>154640+3065</f>
        <v>157705</v>
      </c>
      <c r="E20" s="80">
        <v>65</v>
      </c>
      <c r="F20" s="80">
        <v>77</v>
      </c>
      <c r="G20" s="80">
        <v>3</v>
      </c>
      <c r="H20" s="80">
        <v>9</v>
      </c>
      <c r="I20" s="80">
        <v>13</v>
      </c>
      <c r="J20" s="80">
        <v>6</v>
      </c>
      <c r="K20" s="80">
        <v>0</v>
      </c>
      <c r="L20" s="80">
        <v>1</v>
      </c>
      <c r="M20" s="80">
        <v>5</v>
      </c>
      <c r="N20" s="80">
        <v>0</v>
      </c>
      <c r="O20" s="78">
        <f t="shared" si="2"/>
        <v>239739</v>
      </c>
      <c r="P20" s="9"/>
    </row>
    <row r="21" spans="3:16" ht="20.2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9"/>
    </row>
    <row r="22" spans="2:16" ht="14.25" customHeight="1"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9"/>
    </row>
    <row r="23" spans="2:16" ht="14.25" customHeight="1">
      <c r="B23" s="16"/>
      <c r="D23" s="5"/>
      <c r="O23" s="5"/>
      <c r="P23" s="9"/>
    </row>
    <row r="24" spans="3:15" ht="14.2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4.2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4.25" customHeight="1">
      <c r="C26" s="5"/>
      <c r="O26" s="5"/>
    </row>
    <row r="27" spans="3:15" ht="14.25" customHeigh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4.2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4.2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ht="14.25" customHeight="1">
      <c r="O30" s="5"/>
    </row>
    <row r="31" ht="14.25" customHeight="1">
      <c r="O31" s="5"/>
    </row>
    <row r="32" ht="14.25" customHeight="1">
      <c r="O32" s="5"/>
    </row>
    <row r="33" ht="14.25" customHeight="1">
      <c r="O33" s="5"/>
    </row>
    <row r="34" ht="14.25" customHeight="1">
      <c r="O34" s="5"/>
    </row>
    <row r="35" ht="14.25" customHeight="1">
      <c r="O35" s="5"/>
    </row>
  </sheetData>
  <sheetProtection/>
  <printOptions horizontalCentered="1"/>
  <pageMargins left="0.74" right="0.5905511811023623" top="0.4330708661417323" bottom="0.5118110236220472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60"/>
  <sheetViews>
    <sheetView zoomScale="70" zoomScaleNormal="70" zoomScalePageLayoutView="0" workbookViewId="0" topLeftCell="A4">
      <selection activeCell="G22" sqref="G22"/>
    </sheetView>
  </sheetViews>
  <sheetFormatPr defaultColWidth="9.140625" defaultRowHeight="12.75"/>
  <cols>
    <col min="1" max="1" width="8.140625" style="768" customWidth="1"/>
    <col min="2" max="2" width="25.140625" style="768" customWidth="1"/>
    <col min="3" max="3" width="20.28125" style="768" customWidth="1"/>
    <col min="4" max="8" width="15.8515625" style="768" customWidth="1"/>
    <col min="9" max="9" width="16.7109375" style="768" customWidth="1"/>
    <col min="10" max="12" width="15.8515625" style="768" customWidth="1"/>
    <col min="13" max="13" width="16.8515625" style="768" customWidth="1"/>
    <col min="14" max="14" width="14.57421875" style="768" bestFit="1" customWidth="1"/>
    <col min="15" max="20" width="9.140625" style="768" customWidth="1"/>
    <col min="21" max="21" width="9.28125" style="768" bestFit="1" customWidth="1"/>
    <col min="22" max="22" width="11.140625" style="768" bestFit="1" customWidth="1"/>
    <col min="23" max="16384" width="9.140625" style="768" customWidth="1"/>
  </cols>
  <sheetData>
    <row r="2" spans="2:12" ht="21.75" customHeight="1">
      <c r="B2" s="1072" t="s">
        <v>853</v>
      </c>
      <c r="C2" s="1073"/>
      <c r="D2" s="1073"/>
      <c r="E2" s="1073"/>
      <c r="F2" s="1073"/>
      <c r="G2" s="1073"/>
      <c r="H2" s="1073"/>
      <c r="I2" s="767"/>
      <c r="J2" s="767"/>
      <c r="K2" s="767"/>
      <c r="L2" s="767"/>
    </row>
    <row r="3" spans="2:12" ht="13.5"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</row>
    <row r="4" spans="2:12" ht="13.5">
      <c r="B4" s="767"/>
      <c r="C4" s="767"/>
      <c r="D4" s="767"/>
      <c r="E4" s="767"/>
      <c r="F4" s="767"/>
      <c r="G4" s="769"/>
      <c r="H4" s="767"/>
      <c r="I4" s="767"/>
      <c r="J4" s="767"/>
      <c r="K4" s="767"/>
      <c r="L4" s="767"/>
    </row>
    <row r="5" spans="2:12" ht="14.25" customHeight="1">
      <c r="B5" s="1074" t="s">
        <v>854</v>
      </c>
      <c r="C5" s="1075" t="s">
        <v>855</v>
      </c>
      <c r="D5" s="1075" t="s">
        <v>856</v>
      </c>
      <c r="E5" s="1075"/>
      <c r="F5" s="1075"/>
      <c r="G5" s="1075"/>
      <c r="H5" s="1075"/>
      <c r="I5" s="767"/>
      <c r="J5" s="767"/>
      <c r="K5" s="767"/>
      <c r="L5" s="767"/>
    </row>
    <row r="6" spans="2:12" ht="13.5">
      <c r="B6" s="1074"/>
      <c r="C6" s="1075"/>
      <c r="D6" s="1074" t="s">
        <v>857</v>
      </c>
      <c r="E6" s="1074"/>
      <c r="F6" s="1074" t="s">
        <v>858</v>
      </c>
      <c r="G6" s="1074"/>
      <c r="H6" s="1074"/>
      <c r="I6" s="767"/>
      <c r="J6" s="767"/>
      <c r="K6" s="767"/>
      <c r="L6" s="767"/>
    </row>
    <row r="7" spans="2:14" ht="74.25" customHeight="1">
      <c r="B7" s="1074"/>
      <c r="C7" s="1075"/>
      <c r="D7" s="14" t="s">
        <v>859</v>
      </c>
      <c r="E7" s="14" t="s">
        <v>860</v>
      </c>
      <c r="F7" s="6" t="s">
        <v>861</v>
      </c>
      <c r="G7" s="6" t="s">
        <v>862</v>
      </c>
      <c r="H7" s="14" t="s">
        <v>863</v>
      </c>
      <c r="I7" s="767"/>
      <c r="J7" s="767"/>
      <c r="K7" s="767"/>
      <c r="L7" s="767"/>
      <c r="N7"/>
    </row>
    <row r="8" spans="2:14" ht="23.25" customHeight="1">
      <c r="B8" s="7" t="s">
        <v>864</v>
      </c>
      <c r="C8" s="78">
        <v>595319.5196599999</v>
      </c>
      <c r="D8" s="78">
        <v>19429.84919</v>
      </c>
      <c r="E8" s="78">
        <v>575889.67047</v>
      </c>
      <c r="F8" s="78">
        <v>403686.0853900001</v>
      </c>
      <c r="G8" s="78">
        <v>157999.50866999992</v>
      </c>
      <c r="H8" s="78">
        <v>14204.076410000001</v>
      </c>
      <c r="I8" s="770"/>
      <c r="J8" s="771"/>
      <c r="K8" s="772"/>
      <c r="L8" s="772"/>
      <c r="N8"/>
    </row>
    <row r="9" spans="2:14" ht="23.25" customHeight="1">
      <c r="B9" s="7" t="s">
        <v>865</v>
      </c>
      <c r="C9" s="78">
        <v>647672.49306</v>
      </c>
      <c r="D9" s="78">
        <v>67201.78856000002</v>
      </c>
      <c r="E9" s="78">
        <v>580470.7045</v>
      </c>
      <c r="F9" s="78">
        <v>408911.4647500001</v>
      </c>
      <c r="G9" s="78">
        <v>157330.39604000002</v>
      </c>
      <c r="H9" s="78">
        <v>14228.843709999997</v>
      </c>
      <c r="I9" s="770"/>
      <c r="J9" s="771"/>
      <c r="K9" s="767"/>
      <c r="L9" s="767"/>
      <c r="N9"/>
    </row>
    <row r="10" spans="2:14" ht="23.25" customHeight="1">
      <c r="B10" s="7" t="s">
        <v>866</v>
      </c>
      <c r="C10" s="78">
        <v>595223.2899799999</v>
      </c>
      <c r="D10" s="78">
        <v>2730.3521400000022</v>
      </c>
      <c r="E10" s="78">
        <v>592492.93784</v>
      </c>
      <c r="F10" s="78">
        <v>419940.86088000017</v>
      </c>
      <c r="G10" s="78">
        <v>157645.70925000007</v>
      </c>
      <c r="H10" s="78">
        <v>14906.36771</v>
      </c>
      <c r="I10" s="770"/>
      <c r="J10" s="773"/>
      <c r="K10" s="773"/>
      <c r="L10" s="773"/>
      <c r="N10"/>
    </row>
    <row r="11" spans="2:14" ht="23.25" customHeight="1">
      <c r="B11" s="7" t="s">
        <v>867</v>
      </c>
      <c r="C11" s="78">
        <v>621116.0278699996</v>
      </c>
      <c r="D11" s="78">
        <v>21644.440770000005</v>
      </c>
      <c r="E11" s="78">
        <v>599471.5871</v>
      </c>
      <c r="F11" s="78">
        <v>425949.91676999995</v>
      </c>
      <c r="G11" s="78">
        <v>157828.77419999996</v>
      </c>
      <c r="H11" s="78">
        <v>15692.896129999997</v>
      </c>
      <c r="I11" s="770"/>
      <c r="J11" s="773"/>
      <c r="K11" s="773"/>
      <c r="L11" s="773"/>
      <c r="N11"/>
    </row>
    <row r="12" spans="2:14" ht="23.25" customHeight="1">
      <c r="B12" s="7" t="s">
        <v>868</v>
      </c>
      <c r="C12" s="78">
        <v>645002.68108</v>
      </c>
      <c r="D12" s="78">
        <v>48469.90051000001</v>
      </c>
      <c r="E12" s="78">
        <v>596532.7805700001</v>
      </c>
      <c r="F12" s="78">
        <v>420726.08893</v>
      </c>
      <c r="G12" s="78">
        <v>159778.28034</v>
      </c>
      <c r="H12" s="78">
        <v>16028.5</v>
      </c>
      <c r="I12" s="770"/>
      <c r="J12" s="773"/>
      <c r="K12" s="773"/>
      <c r="L12" s="773"/>
      <c r="N12"/>
    </row>
    <row r="13" spans="2:14" ht="23.25" customHeight="1">
      <c r="B13" s="7" t="s">
        <v>869</v>
      </c>
      <c r="C13" s="78">
        <v>657829.44439</v>
      </c>
      <c r="D13" s="78">
        <v>56312.737329999996</v>
      </c>
      <c r="E13" s="78">
        <v>601516.7070600002</v>
      </c>
      <c r="F13" s="78">
        <v>421703.08745000005</v>
      </c>
      <c r="G13" s="78">
        <v>163199</v>
      </c>
      <c r="H13" s="78">
        <v>16613.961520000004</v>
      </c>
      <c r="I13" s="770"/>
      <c r="J13" s="773"/>
      <c r="K13" s="773"/>
      <c r="L13" s="773"/>
      <c r="N13"/>
    </row>
    <row r="14" spans="2:14" ht="23.25" customHeight="1">
      <c r="B14" s="7" t="s">
        <v>870</v>
      </c>
      <c r="C14" s="78">
        <v>664077.9473299999</v>
      </c>
      <c r="D14" s="78">
        <v>37580.092730000004</v>
      </c>
      <c r="E14" s="78">
        <v>626497.8545999997</v>
      </c>
      <c r="F14" s="78">
        <v>444058.0417999999</v>
      </c>
      <c r="G14" s="78">
        <v>165533.38014999998</v>
      </c>
      <c r="H14" s="78">
        <v>16906.432649999995</v>
      </c>
      <c r="I14" s="770"/>
      <c r="J14" s="773"/>
      <c r="K14" s="773"/>
      <c r="L14" s="773"/>
      <c r="N14"/>
    </row>
    <row r="15" spans="2:14" ht="23.25" customHeight="1">
      <c r="B15" s="7" t="s">
        <v>871</v>
      </c>
      <c r="C15" s="78">
        <v>683016.2353800001</v>
      </c>
      <c r="D15" s="78">
        <v>48734.40245999999</v>
      </c>
      <c r="E15" s="78">
        <v>634281.83292</v>
      </c>
      <c r="F15" s="78">
        <v>445723.3704600001</v>
      </c>
      <c r="G15" s="78">
        <v>171054.56776000003</v>
      </c>
      <c r="H15" s="78">
        <v>17503.894699999997</v>
      </c>
      <c r="I15" s="770"/>
      <c r="J15" s="773"/>
      <c r="K15" s="773"/>
      <c r="L15" s="773"/>
      <c r="N15"/>
    </row>
    <row r="16" spans="2:14" ht="23.25" customHeight="1">
      <c r="B16" s="7" t="s">
        <v>872</v>
      </c>
      <c r="C16" s="78">
        <v>685952.2849799999</v>
      </c>
      <c r="D16" s="78">
        <v>38029.79755000001</v>
      </c>
      <c r="E16" s="78">
        <v>647922.4874300001</v>
      </c>
      <c r="F16" s="78">
        <v>455190.07344999985</v>
      </c>
      <c r="G16" s="78">
        <v>174721.96629</v>
      </c>
      <c r="H16" s="78">
        <v>18010.447690000005</v>
      </c>
      <c r="I16" s="770"/>
      <c r="J16" s="773"/>
      <c r="K16" s="773"/>
      <c r="L16" s="773"/>
      <c r="N16"/>
    </row>
    <row r="17" spans="2:14" ht="23.25" customHeight="1">
      <c r="B17" s="7" t="s">
        <v>873</v>
      </c>
      <c r="C17" s="78">
        <v>683982.5296499999</v>
      </c>
      <c r="D17" s="78">
        <v>48062.79939</v>
      </c>
      <c r="E17" s="78">
        <v>635919.7302599999</v>
      </c>
      <c r="F17" s="78">
        <v>449122.9435800001</v>
      </c>
      <c r="G17" s="78">
        <v>171730.58940999996</v>
      </c>
      <c r="H17" s="78">
        <v>15066.197269999999</v>
      </c>
      <c r="I17" s="770"/>
      <c r="J17" s="773"/>
      <c r="K17" s="773"/>
      <c r="L17" s="773"/>
      <c r="N17"/>
    </row>
    <row r="18" spans="2:14" ht="23.25" customHeight="1">
      <c r="B18" s="7" t="s">
        <v>874</v>
      </c>
      <c r="C18" s="78">
        <v>653528.32368</v>
      </c>
      <c r="D18" s="78">
        <v>42187.611419999994</v>
      </c>
      <c r="E18" s="78">
        <v>611340.7122599997</v>
      </c>
      <c r="F18" s="78">
        <v>433800.12531999993</v>
      </c>
      <c r="G18" s="78">
        <v>163887.0807900001</v>
      </c>
      <c r="H18" s="78">
        <v>13653.506149999997</v>
      </c>
      <c r="I18" s="770"/>
      <c r="J18" s="773"/>
      <c r="K18" s="773"/>
      <c r="L18" s="773"/>
      <c r="N18"/>
    </row>
    <row r="19" spans="2:14" ht="23.25" customHeight="1">
      <c r="B19" s="7" t="s">
        <v>875</v>
      </c>
      <c r="C19" s="78">
        <v>661730.7083399999</v>
      </c>
      <c r="D19" s="78">
        <v>45713.679430000004</v>
      </c>
      <c r="E19" s="78">
        <v>616017.0289100001</v>
      </c>
      <c r="F19" s="78">
        <v>433140</v>
      </c>
      <c r="G19" s="78">
        <v>168915.18398</v>
      </c>
      <c r="H19" s="78">
        <v>13962.391889999999</v>
      </c>
      <c r="I19"/>
      <c r="J19"/>
      <c r="K19"/>
      <c r="L19"/>
      <c r="M19"/>
      <c r="N19"/>
    </row>
    <row r="20" spans="2:14" ht="23.25" customHeight="1">
      <c r="B20" s="7" t="s">
        <v>876</v>
      </c>
      <c r="C20" s="78">
        <v>667147.8540899998</v>
      </c>
      <c r="D20" s="78">
        <v>44054.673310000006</v>
      </c>
      <c r="E20" s="78">
        <v>623093.18078</v>
      </c>
      <c r="F20" s="78">
        <v>434790.0617700001</v>
      </c>
      <c r="G20" s="78">
        <v>173690.79632999998</v>
      </c>
      <c r="H20" s="78">
        <v>14612.32268</v>
      </c>
      <c r="I20"/>
      <c r="J20"/>
      <c r="K20"/>
      <c r="L20"/>
      <c r="M20"/>
      <c r="N20"/>
    </row>
    <row r="21" spans="2:14" ht="23.25" customHeight="1">
      <c r="B21" s="861" t="s">
        <v>877</v>
      </c>
      <c r="C21" s="774"/>
      <c r="D21" s="774"/>
      <c r="E21" s="774"/>
      <c r="F21" s="774"/>
      <c r="G21" s="774"/>
      <c r="H21" s="775"/>
      <c r="I21" s="770"/>
      <c r="J21" s="776"/>
      <c r="K21" s="767"/>
      <c r="L21" s="767"/>
      <c r="N21"/>
    </row>
    <row r="22" spans="2:14" ht="23.25" customHeight="1">
      <c r="B22" s="767"/>
      <c r="C22" s="767"/>
      <c r="D22" s="767"/>
      <c r="E22" s="767"/>
      <c r="F22" s="772"/>
      <c r="G22" s="767"/>
      <c r="H22" s="777"/>
      <c r="I22" s="767"/>
      <c r="J22" s="767"/>
      <c r="K22" s="767"/>
      <c r="L22" s="767"/>
      <c r="N22"/>
    </row>
    <row r="23" spans="2:12" ht="23.25" customHeight="1">
      <c r="B23" s="778" t="s">
        <v>878</v>
      </c>
      <c r="C23" s="779"/>
      <c r="D23" s="779"/>
      <c r="E23" s="779"/>
      <c r="F23" s="779"/>
      <c r="G23" s="779"/>
      <c r="H23" s="779"/>
      <c r="I23" s="780"/>
      <c r="J23" s="780"/>
      <c r="K23" s="780"/>
      <c r="L23" s="780"/>
    </row>
    <row r="24" spans="2:12" ht="23.25" customHeight="1">
      <c r="B24" s="779"/>
      <c r="C24" s="779"/>
      <c r="D24" s="779"/>
      <c r="E24" s="779"/>
      <c r="F24" s="779"/>
      <c r="G24" s="779"/>
      <c r="H24" s="779"/>
      <c r="I24" s="858"/>
      <c r="J24" s="858"/>
      <c r="K24" s="858"/>
      <c r="L24" s="858"/>
    </row>
    <row r="25" spans="2:12" ht="38.25" customHeight="1">
      <c r="B25" s="859" t="s">
        <v>879</v>
      </c>
      <c r="C25" s="859" t="s">
        <v>880</v>
      </c>
      <c r="D25" s="859" t="s">
        <v>881</v>
      </c>
      <c r="E25" s="859" t="s">
        <v>882</v>
      </c>
      <c r="F25" s="859" t="s">
        <v>883</v>
      </c>
      <c r="G25" s="859" t="s">
        <v>884</v>
      </c>
      <c r="H25" s="859" t="s">
        <v>885</v>
      </c>
      <c r="I25" s="859" t="s">
        <v>886</v>
      </c>
      <c r="J25" s="859" t="s">
        <v>887</v>
      </c>
      <c r="K25" s="859" t="s">
        <v>888</v>
      </c>
      <c r="L25" s="859" t="s">
        <v>889</v>
      </c>
    </row>
    <row r="26" spans="2:12" ht="23.25" customHeight="1">
      <c r="B26" s="7" t="s">
        <v>890</v>
      </c>
      <c r="C26" s="860">
        <v>595319.5196600001</v>
      </c>
      <c r="D26" s="860">
        <v>55463.17914</v>
      </c>
      <c r="E26" s="860">
        <v>302437.50031</v>
      </c>
      <c r="F26" s="860">
        <v>97060.16865000002</v>
      </c>
      <c r="G26" s="860">
        <v>8499.20262</v>
      </c>
      <c r="H26" s="860">
        <v>10625.964860000002</v>
      </c>
      <c r="I26" s="860">
        <v>46181.785029999985</v>
      </c>
      <c r="J26" s="860">
        <v>56281.96372000001</v>
      </c>
      <c r="K26" s="860">
        <v>14951.990250000006</v>
      </c>
      <c r="L26" s="860">
        <v>3817.7650800000006</v>
      </c>
    </row>
    <row r="27" spans="2:12" ht="23.25" customHeight="1">
      <c r="B27" s="7" t="s">
        <v>891</v>
      </c>
      <c r="C27" s="860">
        <v>647672.4930600004</v>
      </c>
      <c r="D27" s="860">
        <v>61052.40375000001</v>
      </c>
      <c r="E27" s="860">
        <v>330494.32867000013</v>
      </c>
      <c r="F27" s="860">
        <v>106204.45968</v>
      </c>
      <c r="G27" s="860">
        <v>9174.55343</v>
      </c>
      <c r="H27" s="860">
        <v>10980.253410000001</v>
      </c>
      <c r="I27" s="860">
        <v>47811.091089999994</v>
      </c>
      <c r="J27" s="860">
        <v>63162.47232000002</v>
      </c>
      <c r="K27" s="860">
        <v>14975.39697</v>
      </c>
      <c r="L27" s="860">
        <v>3817.53374</v>
      </c>
    </row>
    <row r="28" spans="2:12" ht="23.25" customHeight="1">
      <c r="B28" s="7" t="s">
        <v>892</v>
      </c>
      <c r="C28" s="860">
        <v>595223.2899799998</v>
      </c>
      <c r="D28" s="860">
        <v>56052.99822</v>
      </c>
      <c r="E28" s="860">
        <v>303186.1218899999</v>
      </c>
      <c r="F28" s="860">
        <v>97280.49553999999</v>
      </c>
      <c r="G28" s="860">
        <v>8387.739239999999</v>
      </c>
      <c r="H28" s="860">
        <v>11009.460340000001</v>
      </c>
      <c r="I28" s="860">
        <v>44585.67994</v>
      </c>
      <c r="J28" s="860">
        <v>55925.29389999999</v>
      </c>
      <c r="K28" s="860">
        <v>14978.16331</v>
      </c>
      <c r="L28" s="860">
        <v>3817.3376000000003</v>
      </c>
    </row>
    <row r="29" spans="2:12" ht="23.25" customHeight="1">
      <c r="B29" s="7" t="s">
        <v>893</v>
      </c>
      <c r="C29" s="860">
        <v>621116.0278699999</v>
      </c>
      <c r="D29" s="860">
        <v>58525.45800000001</v>
      </c>
      <c r="E29" s="860">
        <v>316356.76673</v>
      </c>
      <c r="F29" s="860">
        <v>101541.50442</v>
      </c>
      <c r="G29" s="860">
        <v>8897.18191</v>
      </c>
      <c r="H29" s="860">
        <v>11594.002420000003</v>
      </c>
      <c r="I29" s="860">
        <v>45986.23692</v>
      </c>
      <c r="J29" s="860">
        <v>59432.19084000002</v>
      </c>
      <c r="K29" s="860">
        <v>14966.6189</v>
      </c>
      <c r="L29" s="860">
        <v>3816.067729999999</v>
      </c>
    </row>
    <row r="30" spans="2:12" ht="23.25" customHeight="1">
      <c r="B30" s="7" t="s">
        <v>894</v>
      </c>
      <c r="C30" s="860">
        <v>645002.6810799999</v>
      </c>
      <c r="D30" s="860">
        <v>60653.76425</v>
      </c>
      <c r="E30" s="860">
        <v>329378.35352</v>
      </c>
      <c r="F30" s="860">
        <v>105786.02964</v>
      </c>
      <c r="G30" s="860">
        <v>9427.945309999996</v>
      </c>
      <c r="H30" s="860">
        <v>11979.663170000003</v>
      </c>
      <c r="I30" s="860">
        <v>46253.564320000005</v>
      </c>
      <c r="J30" s="860">
        <v>62745.90950999999</v>
      </c>
      <c r="K30" s="860">
        <v>14961.589039999999</v>
      </c>
      <c r="L30" s="860">
        <v>3815.8623199999993</v>
      </c>
    </row>
    <row r="31" spans="2:12" ht="29.25" customHeight="1">
      <c r="B31" s="7" t="s">
        <v>895</v>
      </c>
      <c r="C31" s="860">
        <v>657829.4443899998</v>
      </c>
      <c r="D31" s="860">
        <v>61661.03657000001</v>
      </c>
      <c r="E31" s="860">
        <v>336768</v>
      </c>
      <c r="F31" s="860">
        <v>108130.84368999998</v>
      </c>
      <c r="G31" s="860">
        <v>9681.587969999997</v>
      </c>
      <c r="H31" s="860">
        <v>12372.985410000001</v>
      </c>
      <c r="I31" s="860">
        <v>45798.70090999999</v>
      </c>
      <c r="J31" s="860">
        <v>64651.39505000001</v>
      </c>
      <c r="K31" s="860">
        <v>14949.494559999997</v>
      </c>
      <c r="L31" s="860">
        <v>3814.8222999999994</v>
      </c>
    </row>
    <row r="32" spans="2:12" ht="26.25" customHeight="1">
      <c r="B32" s="7" t="s">
        <v>896</v>
      </c>
      <c r="C32" s="860">
        <v>664077.94733</v>
      </c>
      <c r="D32" s="860">
        <v>62235.79394999999</v>
      </c>
      <c r="E32" s="860">
        <v>340705.2491700001</v>
      </c>
      <c r="F32" s="860">
        <v>109436.37038</v>
      </c>
      <c r="G32" s="860">
        <v>9806.28158</v>
      </c>
      <c r="H32" s="860">
        <v>12650.623709999998</v>
      </c>
      <c r="I32" s="860">
        <v>44765.348549999995</v>
      </c>
      <c r="J32" s="860">
        <v>65719.1746</v>
      </c>
      <c r="K32" s="860">
        <v>14944.511529999998</v>
      </c>
      <c r="L32" s="860">
        <v>3814.5938599999995</v>
      </c>
    </row>
    <row r="33" spans="2:12" ht="24.75" customHeight="1">
      <c r="B33" s="7" t="s">
        <v>897</v>
      </c>
      <c r="C33" s="860">
        <v>683016.2353799999</v>
      </c>
      <c r="D33" s="860">
        <v>63426.47260999999</v>
      </c>
      <c r="E33" s="860">
        <v>347845.77927999996</v>
      </c>
      <c r="F33" s="860">
        <v>111675.78261000001</v>
      </c>
      <c r="G33" s="860">
        <v>10061.211819999999</v>
      </c>
      <c r="H33" s="860">
        <v>13187.91713</v>
      </c>
      <c r="I33" s="860">
        <v>50429.16371</v>
      </c>
      <c r="J33" s="860">
        <v>67635.54590000001</v>
      </c>
      <c r="K33" s="860">
        <v>14939.90389</v>
      </c>
      <c r="L33" s="860">
        <v>3814.4584299999997</v>
      </c>
    </row>
    <row r="34" spans="2:12" ht="23.25" customHeight="1">
      <c r="B34" s="7" t="s">
        <v>898</v>
      </c>
      <c r="C34" s="860">
        <v>685952.2849799999</v>
      </c>
      <c r="D34" s="860">
        <v>63741.24913999997</v>
      </c>
      <c r="E34" s="860">
        <v>349577.07029</v>
      </c>
      <c r="F34" s="860">
        <v>112189.5586</v>
      </c>
      <c r="G34" s="860">
        <v>9872.026560000004</v>
      </c>
      <c r="H34" s="860">
        <v>13589.976650000002</v>
      </c>
      <c r="I34" s="860">
        <v>50176.21355000002</v>
      </c>
      <c r="J34" s="860">
        <v>68061.47414</v>
      </c>
      <c r="K34" s="860">
        <v>14930.508779999998</v>
      </c>
      <c r="L34" s="860">
        <v>3814.2072700000003</v>
      </c>
    </row>
    <row r="35" spans="1:12" ht="25.5" customHeight="1">
      <c r="A35" s="781"/>
      <c r="B35" s="7" t="s">
        <v>899</v>
      </c>
      <c r="C35" s="860">
        <v>683982.52965</v>
      </c>
      <c r="D35" s="860">
        <v>63838.933000000005</v>
      </c>
      <c r="E35" s="860">
        <v>349972.88925999997</v>
      </c>
      <c r="F35" s="860">
        <v>112252.32330000002</v>
      </c>
      <c r="G35" s="860">
        <v>10005.604219999997</v>
      </c>
      <c r="H35" s="860">
        <v>10666.767589999996</v>
      </c>
      <c r="I35" s="860">
        <v>49974.40769999999</v>
      </c>
      <c r="J35" s="860">
        <v>68591.74485</v>
      </c>
      <c r="K35" s="860">
        <v>14890.379349999997</v>
      </c>
      <c r="L35" s="860">
        <v>3789.4803800000004</v>
      </c>
    </row>
    <row r="36" spans="2:12" ht="24" customHeight="1">
      <c r="B36" s="7" t="s">
        <v>900</v>
      </c>
      <c r="C36" s="860">
        <v>653528.3236799999</v>
      </c>
      <c r="D36" s="860">
        <v>61108.870950000004</v>
      </c>
      <c r="E36" s="860">
        <v>335021.90573000006</v>
      </c>
      <c r="F36" s="860">
        <v>107295.38681000001</v>
      </c>
      <c r="G36" s="860">
        <v>9662.936469999997</v>
      </c>
      <c r="H36" s="860">
        <v>9518.035210000004</v>
      </c>
      <c r="I36" s="860">
        <v>47646.79343</v>
      </c>
      <c r="J36" s="860">
        <v>67439.31276999999</v>
      </c>
      <c r="K36" s="860">
        <v>12756.709429999999</v>
      </c>
      <c r="L36" s="860">
        <v>3078.372880000001</v>
      </c>
    </row>
    <row r="37" spans="2:12" ht="25.5" customHeight="1">
      <c r="B37" s="7" t="s">
        <v>901</v>
      </c>
      <c r="C37" s="860">
        <v>661730.7083400001</v>
      </c>
      <c r="D37" s="860">
        <v>62323.08068</v>
      </c>
      <c r="E37" s="860">
        <v>339726.7662400001</v>
      </c>
      <c r="F37" s="860">
        <v>108742.09893</v>
      </c>
      <c r="G37" s="860">
        <v>9835.176039999997</v>
      </c>
      <c r="H37" s="860">
        <v>9737</v>
      </c>
      <c r="I37" s="860">
        <v>46638.085849999996</v>
      </c>
      <c r="J37" s="860">
        <v>68895.25604000001</v>
      </c>
      <c r="K37" s="860">
        <v>12758.95494</v>
      </c>
      <c r="L37" s="860">
        <v>3074.855760000001</v>
      </c>
    </row>
    <row r="38" spans="2:12" ht="18.75" customHeight="1">
      <c r="B38" s="7" t="s">
        <v>902</v>
      </c>
      <c r="C38" s="860">
        <v>667147.8540899999</v>
      </c>
      <c r="D38" s="860">
        <v>62205.76667999999</v>
      </c>
      <c r="E38" s="860">
        <v>339027.20921000006</v>
      </c>
      <c r="F38" s="860">
        <v>108293.74187999996</v>
      </c>
      <c r="G38" s="860">
        <v>9646.89878</v>
      </c>
      <c r="H38" s="860">
        <v>10096.23213</v>
      </c>
      <c r="I38" s="860">
        <v>53621.493409999995</v>
      </c>
      <c r="J38" s="860">
        <v>68435.50756999999</v>
      </c>
      <c r="K38" s="860">
        <v>12756.09215</v>
      </c>
      <c r="L38" s="860">
        <v>3064.9122800000005</v>
      </c>
    </row>
    <row r="39" spans="3:12" ht="18.75" customHeight="1">
      <c r="C39"/>
      <c r="D39"/>
      <c r="E39"/>
      <c r="F39"/>
      <c r="G39"/>
      <c r="H39"/>
      <c r="I39"/>
      <c r="J39"/>
      <c r="K39"/>
      <c r="L39"/>
    </row>
    <row r="40" spans="3:12" ht="18.75" customHeight="1">
      <c r="C40"/>
      <c r="D40"/>
      <c r="E40"/>
      <c r="F40"/>
      <c r="G40"/>
      <c r="H40"/>
      <c r="I40"/>
      <c r="J40"/>
      <c r="K40"/>
      <c r="L40"/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1" ht="13.5">
      <c r="D51" s="782"/>
    </row>
    <row r="52" ht="13.5">
      <c r="D52" s="782"/>
    </row>
    <row r="53" ht="13.5">
      <c r="D53" s="782"/>
    </row>
    <row r="54" ht="13.5">
      <c r="D54" s="782"/>
    </row>
    <row r="55" ht="13.5">
      <c r="D55" s="782"/>
    </row>
    <row r="56" ht="13.5">
      <c r="D56" s="782"/>
    </row>
    <row r="57" ht="13.5">
      <c r="D57" s="782"/>
    </row>
    <row r="58" ht="13.5">
      <c r="D58" s="782"/>
    </row>
    <row r="59" ht="13.5">
      <c r="D59" s="782"/>
    </row>
    <row r="60" ht="13.5">
      <c r="D60" s="783"/>
    </row>
  </sheetData>
  <sheetProtection/>
  <mergeCells count="6">
    <mergeCell ref="B2:H2"/>
    <mergeCell ref="B5:B7"/>
    <mergeCell ref="C5:C7"/>
    <mergeCell ref="D5:H5"/>
    <mergeCell ref="D6:E6"/>
    <mergeCell ref="F6:H6"/>
  </mergeCells>
  <printOptions horizontalCentered="1"/>
  <pageMargins left="0.3937007874015748" right="0.3937007874015748" top="0.39" bottom="0.43" header="0.5118110236220472" footer="0.5118110236220472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140625" style="784" customWidth="1"/>
    <col min="2" max="2" width="9.28125" style="784" customWidth="1"/>
    <col min="3" max="3" width="9.8515625" style="784" customWidth="1"/>
    <col min="4" max="16384" width="9.140625" style="784" customWidth="1"/>
  </cols>
  <sheetData>
    <row r="1" ht="69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F42"/>
  <sheetViews>
    <sheetView zoomScale="90" zoomScaleNormal="90" zoomScalePageLayoutView="0" workbookViewId="0" topLeftCell="A19">
      <selection activeCell="E22" sqref="E22"/>
    </sheetView>
  </sheetViews>
  <sheetFormatPr defaultColWidth="9.140625" defaultRowHeight="12.75"/>
  <cols>
    <col min="1" max="1" width="9.140625" style="792" customWidth="1"/>
    <col min="2" max="2" width="20.421875" style="792" customWidth="1"/>
    <col min="3" max="3" width="14.8515625" style="792" customWidth="1"/>
    <col min="4" max="4" width="13.8515625" style="792" customWidth="1"/>
    <col min="5" max="5" width="15.28125" style="792" customWidth="1"/>
    <col min="6" max="6" width="20.7109375" style="792" customWidth="1"/>
    <col min="7" max="7" width="9.140625" style="792" customWidth="1"/>
    <col min="8" max="8" width="13.421875" style="792" customWidth="1"/>
    <col min="9" max="12" width="9.140625" style="792" customWidth="1"/>
    <col min="13" max="13" width="14.8515625" style="792" customWidth="1"/>
    <col min="14" max="16384" width="9.140625" style="792" customWidth="1"/>
  </cols>
  <sheetData>
    <row r="1" ht="12.75" customHeight="1"/>
    <row r="2" spans="2:6" ht="12.75">
      <c r="B2" s="1076" t="s">
        <v>903</v>
      </c>
      <c r="C2" s="1077" t="s">
        <v>904</v>
      </c>
      <c r="D2" s="1078"/>
      <c r="E2" s="1078"/>
      <c r="F2" s="1079"/>
    </row>
    <row r="3" spans="2:6" ht="52.5">
      <c r="B3" s="1076"/>
      <c r="C3" s="862" t="s">
        <v>905</v>
      </c>
      <c r="D3" s="862" t="s">
        <v>906</v>
      </c>
      <c r="E3" s="863" t="s">
        <v>907</v>
      </c>
      <c r="F3" s="862" t="s">
        <v>908</v>
      </c>
    </row>
    <row r="4" spans="2:6" ht="14.25" customHeight="1">
      <c r="B4" s="865" t="s">
        <v>909</v>
      </c>
      <c r="C4" s="785">
        <v>12915.871379999997</v>
      </c>
      <c r="D4" s="80">
        <v>18220.978450000002</v>
      </c>
      <c r="E4" s="786">
        <f aca="true" t="shared" si="0" ref="E4:E39">D4-C4</f>
        <v>5305.1070700000055</v>
      </c>
      <c r="F4" s="866">
        <v>0.41074325641047116</v>
      </c>
    </row>
    <row r="5" spans="2:6" ht="14.25" customHeight="1">
      <c r="B5" s="865" t="s">
        <v>910</v>
      </c>
      <c r="C5" s="785">
        <v>28361.976909999998</v>
      </c>
      <c r="D5" s="80">
        <v>35537.90810999999</v>
      </c>
      <c r="E5" s="786">
        <f t="shared" si="0"/>
        <v>7175.931199999992</v>
      </c>
      <c r="F5" s="866">
        <v>0.2530123771968049</v>
      </c>
    </row>
    <row r="6" spans="2:6" ht="14.25" customHeight="1">
      <c r="B6" s="865" t="s">
        <v>911</v>
      </c>
      <c r="C6" s="785">
        <v>21277.628239999995</v>
      </c>
      <c r="D6" s="80">
        <v>26217.858579999993</v>
      </c>
      <c r="E6" s="786">
        <f t="shared" si="0"/>
        <v>4940.230339999998</v>
      </c>
      <c r="F6" s="866">
        <v>0.23217955893753306</v>
      </c>
    </row>
    <row r="7" spans="2:6" ht="14.25" customHeight="1">
      <c r="B7" s="865" t="s">
        <v>912</v>
      </c>
      <c r="C7" s="785">
        <v>2273.3382900000006</v>
      </c>
      <c r="D7" s="80">
        <v>2783.31162</v>
      </c>
      <c r="E7" s="786">
        <f t="shared" si="0"/>
        <v>509.97332999999935</v>
      </c>
      <c r="F7" s="866">
        <v>0.22432795516764004</v>
      </c>
    </row>
    <row r="8" spans="2:6" ht="14.25" customHeight="1">
      <c r="B8" s="865" t="s">
        <v>913</v>
      </c>
      <c r="C8" s="785">
        <v>116737.35584</v>
      </c>
      <c r="D8" s="80">
        <v>142853.86965</v>
      </c>
      <c r="E8" s="786">
        <f t="shared" si="0"/>
        <v>26116.513810000004</v>
      </c>
      <c r="F8" s="866">
        <v>0.22372027892935353</v>
      </c>
    </row>
    <row r="9" spans="2:6" ht="14.25" customHeight="1">
      <c r="B9" s="865" t="s">
        <v>914</v>
      </c>
      <c r="C9" s="785">
        <v>24022.282019999995</v>
      </c>
      <c r="D9" s="80">
        <v>28982.542869999997</v>
      </c>
      <c r="E9" s="786">
        <f t="shared" si="0"/>
        <v>4960.260850000002</v>
      </c>
      <c r="F9" s="866">
        <v>0.20648583035826018</v>
      </c>
    </row>
    <row r="10" spans="2:6" ht="14.25" customHeight="1">
      <c r="B10" s="865" t="s">
        <v>915</v>
      </c>
      <c r="C10" s="785">
        <v>24692.96514</v>
      </c>
      <c r="D10" s="80">
        <v>29550.100739999994</v>
      </c>
      <c r="E10" s="786">
        <f t="shared" si="0"/>
        <v>4857.135599999994</v>
      </c>
      <c r="F10" s="866">
        <v>0.19670118887957866</v>
      </c>
    </row>
    <row r="11" spans="2:6" ht="14.25" customHeight="1">
      <c r="B11" s="865" t="s">
        <v>916</v>
      </c>
      <c r="C11" s="785">
        <v>13851.892510000001</v>
      </c>
      <c r="D11" s="80">
        <v>16494.769049999995</v>
      </c>
      <c r="E11" s="786">
        <f t="shared" si="0"/>
        <v>2642.876539999994</v>
      </c>
      <c r="F11" s="866">
        <v>0.19079533992138908</v>
      </c>
    </row>
    <row r="12" spans="2:6" ht="14.25" customHeight="1">
      <c r="B12" s="865" t="s">
        <v>917</v>
      </c>
      <c r="C12" s="785">
        <v>10041.107130000002</v>
      </c>
      <c r="D12" s="80">
        <v>11622.778250000001</v>
      </c>
      <c r="E12" s="786">
        <f t="shared" si="0"/>
        <v>1581.671119999999</v>
      </c>
      <c r="F12" s="866">
        <v>0.15751959415654593</v>
      </c>
    </row>
    <row r="13" spans="2:6" ht="14.25" customHeight="1">
      <c r="B13" s="865" t="s">
        <v>918</v>
      </c>
      <c r="C13" s="785">
        <v>7905.551530000001</v>
      </c>
      <c r="D13" s="80">
        <v>9121.608499999998</v>
      </c>
      <c r="E13" s="786">
        <f t="shared" si="0"/>
        <v>1216.0569699999978</v>
      </c>
      <c r="F13" s="866">
        <v>0.15382316659189477</v>
      </c>
    </row>
    <row r="14" spans="2:6" ht="14.25" customHeight="1">
      <c r="B14" s="865" t="s">
        <v>919</v>
      </c>
      <c r="C14" s="785">
        <v>37183.61307000001</v>
      </c>
      <c r="D14" s="80">
        <v>42292.66885999999</v>
      </c>
      <c r="E14" s="786">
        <f t="shared" si="0"/>
        <v>5109.055789999984</v>
      </c>
      <c r="F14" s="866">
        <v>0.13740073565153366</v>
      </c>
    </row>
    <row r="15" spans="2:6" ht="14.25" customHeight="1">
      <c r="B15" s="865" t="s">
        <v>920</v>
      </c>
      <c r="C15" s="785">
        <v>16576.019790000002</v>
      </c>
      <c r="D15" s="80">
        <v>18657.018019999996</v>
      </c>
      <c r="E15" s="786">
        <f t="shared" si="0"/>
        <v>2080.998229999994</v>
      </c>
      <c r="F15" s="866">
        <v>0.1255426970022937</v>
      </c>
    </row>
    <row r="16" spans="2:6" ht="14.25" customHeight="1">
      <c r="B16" s="865" t="s">
        <v>921</v>
      </c>
      <c r="C16" s="785">
        <v>2583.3590799999997</v>
      </c>
      <c r="D16" s="80">
        <v>2853.91337</v>
      </c>
      <c r="E16" s="786">
        <f t="shared" si="0"/>
        <v>270.5542900000005</v>
      </c>
      <c r="F16" s="866">
        <v>0.10472964912024563</v>
      </c>
    </row>
    <row r="17" spans="2:6" ht="14.25" customHeight="1">
      <c r="B17" s="865" t="s">
        <v>922</v>
      </c>
      <c r="C17" s="785">
        <v>11304.729680000002</v>
      </c>
      <c r="D17" s="80">
        <v>12374.366970000003</v>
      </c>
      <c r="E17" s="786">
        <f t="shared" si="0"/>
        <v>1069.6372900000006</v>
      </c>
      <c r="F17" s="866">
        <v>0.0946185641123618</v>
      </c>
    </row>
    <row r="18" spans="2:6" ht="14.25" customHeight="1">
      <c r="B18" s="865" t="s">
        <v>923</v>
      </c>
      <c r="C18" s="785">
        <v>19782.956009999998</v>
      </c>
      <c r="D18" s="80">
        <v>21607.20583</v>
      </c>
      <c r="E18" s="786">
        <f t="shared" si="0"/>
        <v>1824.249820000001</v>
      </c>
      <c r="F18" s="866">
        <v>0.09221320712020331</v>
      </c>
    </row>
    <row r="19" spans="2:6" ht="14.25" customHeight="1">
      <c r="B19" s="865" t="s">
        <v>924</v>
      </c>
      <c r="C19" s="785">
        <v>13961.805620000001</v>
      </c>
      <c r="D19" s="80">
        <v>15196.72624</v>
      </c>
      <c r="E19" s="786">
        <f t="shared" si="0"/>
        <v>1234.920619999999</v>
      </c>
      <c r="F19" s="866">
        <v>0.08844992213836589</v>
      </c>
    </row>
    <row r="20" spans="2:6" ht="14.25" customHeight="1">
      <c r="B20" s="865" t="s">
        <v>925</v>
      </c>
      <c r="C20" s="785">
        <v>14694.894459999998</v>
      </c>
      <c r="D20" s="80">
        <v>15978.104799999997</v>
      </c>
      <c r="E20" s="786">
        <f t="shared" si="0"/>
        <v>1283.2103399999996</v>
      </c>
      <c r="F20" s="866">
        <v>0.08732354924310215</v>
      </c>
    </row>
    <row r="21" spans="2:6" ht="14.25" customHeight="1">
      <c r="B21" s="865" t="s">
        <v>926</v>
      </c>
      <c r="C21" s="785">
        <v>18842.438180000005</v>
      </c>
      <c r="D21" s="80">
        <v>20164.83406</v>
      </c>
      <c r="E21" s="786">
        <f t="shared" si="0"/>
        <v>1322.3958799999964</v>
      </c>
      <c r="F21" s="866">
        <v>0.0701817815384227</v>
      </c>
    </row>
    <row r="22" spans="2:6" ht="14.25" customHeight="1">
      <c r="B22" s="865" t="s">
        <v>927</v>
      </c>
      <c r="C22" s="785">
        <v>19134.957620000005</v>
      </c>
      <c r="D22" s="80">
        <v>20455.91715</v>
      </c>
      <c r="E22" s="786">
        <f t="shared" si="0"/>
        <v>1320.9595299999964</v>
      </c>
      <c r="F22" s="866">
        <v>0.06903383619827408</v>
      </c>
    </row>
    <row r="23" spans="2:6" ht="14.25" customHeight="1">
      <c r="B23" s="865" t="s">
        <v>928</v>
      </c>
      <c r="C23" s="785">
        <v>12668.571179999999</v>
      </c>
      <c r="D23" s="80">
        <v>13322.98128</v>
      </c>
      <c r="E23" s="786">
        <f t="shared" si="0"/>
        <v>654.410100000001</v>
      </c>
      <c r="F23" s="866">
        <v>0.05165618842897812</v>
      </c>
    </row>
    <row r="24" spans="2:6" ht="14.25" customHeight="1">
      <c r="B24" s="865" t="s">
        <v>929</v>
      </c>
      <c r="C24" s="785">
        <v>5890.9166399999995</v>
      </c>
      <c r="D24" s="80">
        <v>6180.763430000002</v>
      </c>
      <c r="E24" s="786">
        <f t="shared" si="0"/>
        <v>289.84679000000233</v>
      </c>
      <c r="F24" s="866">
        <v>0.049202324139491216</v>
      </c>
    </row>
    <row r="25" spans="2:6" ht="14.25" customHeight="1">
      <c r="B25" s="865" t="s">
        <v>930</v>
      </c>
      <c r="C25" s="785">
        <v>18589.101919999997</v>
      </c>
      <c r="D25" s="80">
        <v>19079.233269999997</v>
      </c>
      <c r="E25" s="786">
        <f t="shared" si="0"/>
        <v>490.13134999999966</v>
      </c>
      <c r="F25" s="866">
        <v>0.026366596520333685</v>
      </c>
    </row>
    <row r="26" spans="2:6" ht="14.25" customHeight="1">
      <c r="B26" s="865" t="s">
        <v>931</v>
      </c>
      <c r="C26" s="785">
        <v>9666.852009999999</v>
      </c>
      <c r="D26" s="80">
        <v>9780.955969999999</v>
      </c>
      <c r="E26" s="786">
        <f t="shared" si="0"/>
        <v>114.10396000000037</v>
      </c>
      <c r="F26" s="866">
        <v>0.011803631614714316</v>
      </c>
    </row>
    <row r="27" spans="2:6" ht="14.25" customHeight="1">
      <c r="B27" s="865" t="s">
        <v>932</v>
      </c>
      <c r="C27" s="785">
        <v>3610.158070000001</v>
      </c>
      <c r="D27" s="80">
        <v>3615.8827400000014</v>
      </c>
      <c r="E27" s="786">
        <f t="shared" si="0"/>
        <v>5.724670000000515</v>
      </c>
      <c r="F27" s="866">
        <v>0.001585711730345496</v>
      </c>
    </row>
    <row r="28" spans="2:6" ht="14.25" customHeight="1">
      <c r="B28" s="865" t="s">
        <v>933</v>
      </c>
      <c r="C28" s="785">
        <v>6424.7057700000005</v>
      </c>
      <c r="D28" s="80">
        <v>6433.13521</v>
      </c>
      <c r="E28" s="786">
        <f t="shared" si="0"/>
        <v>8.429439999999886</v>
      </c>
      <c r="F28" s="866">
        <v>0.0013120351813402653</v>
      </c>
    </row>
    <row r="29" spans="2:6" ht="14.25" customHeight="1">
      <c r="B29" s="865" t="s">
        <v>934</v>
      </c>
      <c r="C29" s="785">
        <v>8880.858539999997</v>
      </c>
      <c r="D29" s="80">
        <v>8725.97604</v>
      </c>
      <c r="E29" s="786">
        <f t="shared" si="0"/>
        <v>-154.8824999999979</v>
      </c>
      <c r="F29" s="867">
        <v>-0.017440036827790495</v>
      </c>
    </row>
    <row r="30" spans="2:6" ht="14.25" customHeight="1">
      <c r="B30" s="865" t="s">
        <v>935</v>
      </c>
      <c r="C30" s="785">
        <v>11099.011370000004</v>
      </c>
      <c r="D30" s="80">
        <v>10838.103919999998</v>
      </c>
      <c r="E30" s="786">
        <f t="shared" si="0"/>
        <v>-260.90745000000607</v>
      </c>
      <c r="F30" s="867">
        <v>-0.023507269368623573</v>
      </c>
    </row>
    <row r="31" spans="2:6" ht="14.25" customHeight="1">
      <c r="B31" s="865" t="s">
        <v>936</v>
      </c>
      <c r="C31" s="785">
        <v>10592.520599999998</v>
      </c>
      <c r="D31" s="80">
        <v>10104.40256</v>
      </c>
      <c r="E31" s="786">
        <f t="shared" si="0"/>
        <v>-488.11803999999756</v>
      </c>
      <c r="F31" s="867">
        <v>-0.04608138689860064</v>
      </c>
    </row>
    <row r="32" spans="2:6" ht="14.25" customHeight="1">
      <c r="B32" s="865" t="s">
        <v>937</v>
      </c>
      <c r="C32" s="785">
        <v>8908.857909999999</v>
      </c>
      <c r="D32" s="80">
        <v>8396.575680000002</v>
      </c>
      <c r="E32" s="786">
        <f t="shared" si="0"/>
        <v>-512.2822299999971</v>
      </c>
      <c r="F32" s="867">
        <v>-0.057502570495031824</v>
      </c>
    </row>
    <row r="33" spans="2:6" ht="14.25" customHeight="1">
      <c r="B33" s="865" t="s">
        <v>938</v>
      </c>
      <c r="C33" s="785">
        <v>8854.119480000003</v>
      </c>
      <c r="D33" s="80">
        <v>8259.37525</v>
      </c>
      <c r="E33" s="786">
        <f t="shared" si="0"/>
        <v>-594.7442300000039</v>
      </c>
      <c r="F33" s="867">
        <v>-0.06717147101340037</v>
      </c>
    </row>
    <row r="34" spans="2:6" ht="14.25" customHeight="1">
      <c r="B34" s="865" t="s">
        <v>939</v>
      </c>
      <c r="C34" s="785">
        <v>11172.61814</v>
      </c>
      <c r="D34" s="80">
        <v>10279.49221</v>
      </c>
      <c r="E34" s="786">
        <f t="shared" si="0"/>
        <v>-893.1259300000002</v>
      </c>
      <c r="F34" s="867">
        <v>-0.07993882175230238</v>
      </c>
    </row>
    <row r="35" spans="2:6" ht="14.25" customHeight="1">
      <c r="B35" s="865" t="s">
        <v>940</v>
      </c>
      <c r="C35" s="785">
        <v>7757.401209999999</v>
      </c>
      <c r="D35" s="80">
        <v>7061.37763</v>
      </c>
      <c r="E35" s="786">
        <f t="shared" si="0"/>
        <v>-696.0235799999991</v>
      </c>
      <c r="F35" s="867">
        <v>-0.08972380841959815</v>
      </c>
    </row>
    <row r="36" spans="2:6" ht="14.25" customHeight="1">
      <c r="B36" s="865" t="s">
        <v>941</v>
      </c>
      <c r="C36" s="785">
        <v>10258.46915</v>
      </c>
      <c r="D36" s="80">
        <v>9127.415350000001</v>
      </c>
      <c r="E36" s="786">
        <f t="shared" si="0"/>
        <v>-1131.0537999999997</v>
      </c>
      <c r="F36" s="867">
        <v>-0.1102556125540427</v>
      </c>
    </row>
    <row r="37" spans="2:6" ht="14.25" customHeight="1">
      <c r="B37" s="865" t="s">
        <v>942</v>
      </c>
      <c r="C37" s="785">
        <v>7187.064209999999</v>
      </c>
      <c r="D37" s="80">
        <v>6322.520009999999</v>
      </c>
      <c r="E37" s="786">
        <f t="shared" si="0"/>
        <v>-864.5441999999994</v>
      </c>
      <c r="F37" s="867">
        <v>-0.12029170391953403</v>
      </c>
    </row>
    <row r="38" spans="2:6" ht="14.25" customHeight="1">
      <c r="B38" s="865" t="s">
        <v>943</v>
      </c>
      <c r="C38" s="785">
        <v>15409.436969999999</v>
      </c>
      <c r="D38" s="80">
        <v>13444.591390000001</v>
      </c>
      <c r="E38" s="786">
        <f t="shared" si="0"/>
        <v>-1964.8455799999974</v>
      </c>
      <c r="F38" s="867">
        <v>-0.12750923890504728</v>
      </c>
    </row>
    <row r="39" spans="2:6" ht="14.25" customHeight="1">
      <c r="B39" s="865" t="s">
        <v>944</v>
      </c>
      <c r="C39" s="785">
        <v>6081.5558599999995</v>
      </c>
      <c r="D39" s="80">
        <v>5034.560379999999</v>
      </c>
      <c r="E39" s="786">
        <f t="shared" si="0"/>
        <v>-1046.9954800000005</v>
      </c>
      <c r="F39" s="867">
        <v>-0.17215914876098837</v>
      </c>
    </row>
    <row r="40" spans="2:6" ht="14.25" customHeight="1" thickBot="1">
      <c r="B40" s="868" t="s">
        <v>945</v>
      </c>
      <c r="C40" s="789">
        <v>579196.9615300001</v>
      </c>
      <c r="D40" s="864">
        <v>646973.82344</v>
      </c>
      <c r="E40" s="789">
        <v>67776.86190999986</v>
      </c>
      <c r="F40" s="869">
        <v>0.11701867656722742</v>
      </c>
    </row>
    <row r="41" spans="2:6" ht="14.25" customHeight="1" thickBot="1" thickTop="1">
      <c r="B41" s="870" t="s">
        <v>946</v>
      </c>
      <c r="C41" s="787">
        <v>16122.558130000003</v>
      </c>
      <c r="D41" s="788">
        <v>20174.030649999993</v>
      </c>
      <c r="E41" s="789">
        <v>4051.4725199999903</v>
      </c>
      <c r="F41" s="869">
        <v>0.2512921638943404</v>
      </c>
    </row>
    <row r="42" spans="2:6" ht="14.25" customHeight="1" thickTop="1">
      <c r="B42" s="871" t="s">
        <v>947</v>
      </c>
      <c r="C42" s="872">
        <v>595319.5196600001</v>
      </c>
      <c r="D42" s="872">
        <v>667147.8540899999</v>
      </c>
      <c r="E42" s="872">
        <v>71828.33442999986</v>
      </c>
      <c r="F42" s="873">
        <v>0.12065509706623212</v>
      </c>
    </row>
  </sheetData>
  <sheetProtection/>
  <mergeCells count="2">
    <mergeCell ref="B2:B3"/>
    <mergeCell ref="C2:F2"/>
  </mergeCells>
  <conditionalFormatting sqref="E4:E39">
    <cfRule type="cellIs" priority="5" dxfId="3" operator="lessThan" stopIfTrue="1">
      <formula>0</formula>
    </cfRule>
  </conditionalFormatting>
  <conditionalFormatting sqref="E40">
    <cfRule type="cellIs" priority="1" dxfId="3" operator="lessThan" stopIfTrue="1">
      <formula>0</formula>
    </cfRule>
  </conditionalFormatting>
  <conditionalFormatting sqref="E41">
    <cfRule type="cellIs" priority="2" dxfId="3" operator="lessThan" stopIfTrue="1">
      <formula>0</formula>
    </cfRule>
  </conditionalFormatting>
  <printOptions/>
  <pageMargins left="0.59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35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40.7109375" style="878" customWidth="1"/>
    <col min="2" max="2" width="31.8515625" style="878" customWidth="1"/>
    <col min="3" max="3" width="22.57421875" style="878" customWidth="1"/>
    <col min="4" max="4" width="17.421875" style="878" customWidth="1"/>
    <col min="5" max="5" width="10.140625" style="878" customWidth="1"/>
    <col min="6" max="6" width="16.8515625" style="878" customWidth="1"/>
    <col min="7" max="7" width="19.140625" style="878" customWidth="1"/>
    <col min="8" max="16384" width="9.140625" style="878" customWidth="1"/>
  </cols>
  <sheetData>
    <row r="2" spans="1:3" ht="15">
      <c r="A2" s="1080" t="s">
        <v>948</v>
      </c>
      <c r="B2" s="1081"/>
      <c r="C2" s="1081"/>
    </row>
    <row r="3" spans="1:3" ht="15">
      <c r="A3" s="879"/>
      <c r="B3" s="880"/>
      <c r="C3" s="880"/>
    </row>
    <row r="4" spans="1:3" ht="18.75" customHeight="1">
      <c r="A4" s="881" t="s">
        <v>949</v>
      </c>
      <c r="B4" s="882">
        <v>667147.85409</v>
      </c>
      <c r="C4" s="883" t="s">
        <v>950</v>
      </c>
    </row>
    <row r="5" spans="1:3" ht="18.75" customHeight="1">
      <c r="A5" s="884" t="s">
        <v>951</v>
      </c>
      <c r="B5" s="882">
        <v>19465.59229</v>
      </c>
      <c r="C5" s="885">
        <f>B5/B4</f>
        <v>0.02917732878951004</v>
      </c>
    </row>
    <row r="6" spans="1:3" ht="18.75" customHeight="1">
      <c r="A6" s="884" t="s">
        <v>952</v>
      </c>
      <c r="B6" s="882">
        <v>10966.0652</v>
      </c>
      <c r="C6" s="886">
        <v>0.017</v>
      </c>
    </row>
    <row r="7" spans="1:3" ht="18.75" customHeight="1">
      <c r="A7" s="884" t="s">
        <v>953</v>
      </c>
      <c r="B7" s="882">
        <v>2634.71183</v>
      </c>
      <c r="C7" s="886">
        <f>B7/B4</f>
        <v>0.003949217274473269</v>
      </c>
    </row>
    <row r="8" spans="1:3" ht="18.75" customHeight="1">
      <c r="A8" s="884" t="s">
        <v>954</v>
      </c>
      <c r="B8" s="882">
        <v>3219.49344</v>
      </c>
      <c r="C8" s="886">
        <f>B8/B4</f>
        <v>0.004825757019621144</v>
      </c>
    </row>
    <row r="9" spans="1:3" ht="18.75" customHeight="1">
      <c r="A9" s="884" t="s">
        <v>955</v>
      </c>
      <c r="B9" s="882">
        <v>358870.75501</v>
      </c>
      <c r="C9" s="886">
        <f>B9/B4</f>
        <v>0.5379178735416983</v>
      </c>
    </row>
    <row r="10" spans="1:3" ht="18.75" customHeight="1">
      <c r="A10" s="884" t="s">
        <v>956</v>
      </c>
      <c r="B10" s="882">
        <v>2167.11211</v>
      </c>
      <c r="C10" s="886">
        <f>B10/B4</f>
        <v>0.003248323586315022</v>
      </c>
    </row>
    <row r="11" spans="1:3" ht="18.75" customHeight="1">
      <c r="A11" s="884" t="s">
        <v>957</v>
      </c>
      <c r="B11" s="882">
        <v>19318.42418</v>
      </c>
      <c r="C11" s="886">
        <f>B11/B4</f>
        <v>0.02895673584433638</v>
      </c>
    </row>
    <row r="12" spans="1:5" ht="18.75" customHeight="1">
      <c r="A12" s="884" t="s">
        <v>958</v>
      </c>
      <c r="B12" s="882">
        <v>6946.06753</v>
      </c>
      <c r="C12" s="886">
        <v>0.01</v>
      </c>
      <c r="D12" s="887"/>
      <c r="E12" s="887"/>
    </row>
    <row r="13" spans="1:3" ht="18.75" customHeight="1">
      <c r="A13" s="1082" t="s">
        <v>959</v>
      </c>
      <c r="B13" s="1082"/>
      <c r="C13" s="1082"/>
    </row>
    <row r="14" spans="1:3" ht="18.75" customHeight="1">
      <c r="A14" s="1082" t="s">
        <v>960</v>
      </c>
      <c r="B14" s="1082"/>
      <c r="C14" s="1082"/>
    </row>
    <row r="15" spans="1:3" ht="45">
      <c r="A15" s="877" t="s">
        <v>961</v>
      </c>
      <c r="B15" s="888">
        <v>101142.96577</v>
      </c>
      <c r="C15" s="889">
        <f>B15/B4</f>
        <v>0.15160502300942055</v>
      </c>
    </row>
    <row r="16" spans="1:7" ht="15">
      <c r="A16" s="877" t="s">
        <v>962</v>
      </c>
      <c r="B16" s="888">
        <v>69479.9326699992</v>
      </c>
      <c r="C16" s="889">
        <f>B16/B4</f>
        <v>0.10414472930407742</v>
      </c>
      <c r="E16" s="890"/>
      <c r="F16" s="891"/>
      <c r="G16" s="892"/>
    </row>
    <row r="17" spans="1:7" ht="15">
      <c r="A17" s="877" t="s">
        <v>963</v>
      </c>
      <c r="B17" s="888">
        <v>45517.14972000099</v>
      </c>
      <c r="C17" s="889">
        <f>B17/B4</f>
        <v>0.06822647999383448</v>
      </c>
      <c r="E17" s="890"/>
      <c r="F17" s="891"/>
      <c r="G17" s="892"/>
    </row>
    <row r="18" spans="1:3" ht="44.25" customHeight="1">
      <c r="A18" s="893" t="s">
        <v>964</v>
      </c>
      <c r="B18" s="888">
        <v>9558.08498000001</v>
      </c>
      <c r="C18" s="889">
        <f>B18/B4</f>
        <v>0.014326786665659572</v>
      </c>
    </row>
    <row r="19" spans="1:5" ht="45">
      <c r="A19" s="893" t="s">
        <v>965</v>
      </c>
      <c r="B19" s="888">
        <v>17861.92994</v>
      </c>
      <c r="C19" s="889">
        <f>B19/B4</f>
        <v>0.026773570252075454</v>
      </c>
      <c r="D19" s="887"/>
      <c r="E19" s="887"/>
    </row>
    <row r="20" spans="1:7" ht="15">
      <c r="A20" s="894"/>
      <c r="B20" s="894"/>
      <c r="C20" s="894"/>
      <c r="D20" s="895"/>
      <c r="E20" s="895"/>
      <c r="F20" s="895"/>
      <c r="G20" s="895"/>
    </row>
    <row r="21" spans="1:5" ht="15">
      <c r="A21" s="894"/>
      <c r="B21" s="894"/>
      <c r="C21" s="894"/>
      <c r="D21" s="887"/>
      <c r="E21" s="887"/>
    </row>
    <row r="22" spans="1:3" ht="15">
      <c r="A22" s="896"/>
      <c r="B22" s="894"/>
      <c r="C22" s="894"/>
    </row>
    <row r="23" spans="1:3" ht="15">
      <c r="A23" s="894"/>
      <c r="B23" s="894"/>
      <c r="C23" s="894"/>
    </row>
    <row r="25" ht="15">
      <c r="B25" s="887"/>
    </row>
    <row r="26" spans="1:2" ht="15">
      <c r="A26" s="897"/>
      <c r="B26" s="895"/>
    </row>
    <row r="33" ht="15">
      <c r="C33" s="892"/>
    </row>
    <row r="34" ht="15">
      <c r="C34" s="892"/>
    </row>
    <row r="35" ht="15">
      <c r="C35" s="892"/>
    </row>
  </sheetData>
  <sheetProtection/>
  <mergeCells count="3">
    <mergeCell ref="A2:C2"/>
    <mergeCell ref="A13:C13"/>
    <mergeCell ref="A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2"/>
  <sheetViews>
    <sheetView zoomScale="85" zoomScaleNormal="85" zoomScalePageLayoutView="0" workbookViewId="0" topLeftCell="A22">
      <selection activeCell="E22" sqref="E22"/>
    </sheetView>
  </sheetViews>
  <sheetFormatPr defaultColWidth="9.140625" defaultRowHeight="12.75"/>
  <cols>
    <col min="1" max="1" width="21.140625" style="898" customWidth="1"/>
    <col min="2" max="2" width="22.140625" style="898" customWidth="1"/>
    <col min="3" max="3" width="21.28125" style="898" customWidth="1"/>
    <col min="4" max="4" width="21.8515625" style="898" customWidth="1"/>
    <col min="5" max="5" width="9.140625" style="898" customWidth="1"/>
    <col min="6" max="6" width="17.140625" style="898" bestFit="1" customWidth="1"/>
    <col min="7" max="7" width="11.421875" style="898" bestFit="1" customWidth="1"/>
    <col min="8" max="8" width="12.8515625" style="898" bestFit="1" customWidth="1"/>
    <col min="9" max="12" width="9.140625" style="898" customWidth="1"/>
    <col min="13" max="13" width="13.57421875" style="898" bestFit="1" customWidth="1"/>
    <col min="14" max="16384" width="9.140625" style="898" customWidth="1"/>
  </cols>
  <sheetData>
    <row r="1" spans="1:4" ht="27" customHeight="1">
      <c r="A1" s="1083" t="s">
        <v>966</v>
      </c>
      <c r="B1" s="1084"/>
      <c r="C1" s="1084"/>
      <c r="D1" s="1084"/>
    </row>
    <row r="2" spans="1:4" ht="27" customHeight="1">
      <c r="A2" s="899"/>
      <c r="B2" s="900"/>
      <c r="C2" s="900"/>
      <c r="D2" s="900"/>
    </row>
    <row r="3" spans="1:4" ht="27" customHeight="1">
      <c r="A3" s="907" t="s">
        <v>903</v>
      </c>
      <c r="B3" s="908" t="s">
        <v>967</v>
      </c>
      <c r="C3" s="901" t="s">
        <v>968</v>
      </c>
      <c r="D3" s="909" t="s">
        <v>969</v>
      </c>
    </row>
    <row r="4" spans="1:6" ht="20.25" customHeight="1">
      <c r="A4" s="910" t="s">
        <v>910</v>
      </c>
      <c r="B4" s="911">
        <v>-14049941.489999998</v>
      </c>
      <c r="C4" s="902">
        <v>-18937046.9</v>
      </c>
      <c r="D4" s="912">
        <f aca="true" t="shared" si="0" ref="D4:D39">B4-C4</f>
        <v>4887105.41</v>
      </c>
      <c r="E4" s="903"/>
      <c r="F4" s="904"/>
    </row>
    <row r="5" spans="1:6" ht="20.25" customHeight="1">
      <c r="A5" s="910" t="s">
        <v>940</v>
      </c>
      <c r="B5" s="911">
        <v>-4647737.579999999</v>
      </c>
      <c r="C5" s="902">
        <v>-4823337.7</v>
      </c>
      <c r="D5" s="912">
        <f t="shared" si="0"/>
        <v>175600.12000000104</v>
      </c>
      <c r="E5" s="903"/>
      <c r="F5" s="904"/>
    </row>
    <row r="6" spans="1:6" ht="20.25" customHeight="1">
      <c r="A6" s="910" t="s">
        <v>913</v>
      </c>
      <c r="B6" s="911">
        <v>-75592313.8</v>
      </c>
      <c r="C6" s="902">
        <v>-88939378.36000001</v>
      </c>
      <c r="D6" s="912">
        <f t="shared" si="0"/>
        <v>13347064.560000017</v>
      </c>
      <c r="E6" s="903"/>
      <c r="F6" s="904"/>
    </row>
    <row r="7" spans="1:6" ht="20.25" customHeight="1">
      <c r="A7" s="910" t="s">
        <v>918</v>
      </c>
      <c r="B7" s="911">
        <v>-3747542.57</v>
      </c>
      <c r="C7" s="902">
        <v>-4676159.67</v>
      </c>
      <c r="D7" s="912">
        <f t="shared" si="0"/>
        <v>928617.1000000001</v>
      </c>
      <c r="E7" s="903"/>
      <c r="F7" s="904"/>
    </row>
    <row r="8" spans="1:6" ht="20.25" customHeight="1">
      <c r="A8" s="910" t="s">
        <v>922</v>
      </c>
      <c r="B8" s="911">
        <v>-5642324.23</v>
      </c>
      <c r="C8" s="902">
        <v>-7610035.41</v>
      </c>
      <c r="D8" s="912">
        <f t="shared" si="0"/>
        <v>1967711.1799999997</v>
      </c>
      <c r="E8" s="903"/>
      <c r="F8" s="904"/>
    </row>
    <row r="9" spans="1:6" ht="20.25" customHeight="1">
      <c r="A9" s="910" t="s">
        <v>916</v>
      </c>
      <c r="B9" s="911">
        <v>-7883255.27</v>
      </c>
      <c r="C9" s="902">
        <v>-8941356.25</v>
      </c>
      <c r="D9" s="912">
        <f t="shared" si="0"/>
        <v>1058100.9800000004</v>
      </c>
      <c r="E9" s="903"/>
      <c r="F9" s="904"/>
    </row>
    <row r="10" spans="1:6" ht="20.25" customHeight="1">
      <c r="A10" s="910" t="s">
        <v>925</v>
      </c>
      <c r="B10" s="911">
        <v>-8644083.6</v>
      </c>
      <c r="C10" s="902">
        <v>-9318328.91</v>
      </c>
      <c r="D10" s="912">
        <f t="shared" si="0"/>
        <v>674245.3100000005</v>
      </c>
      <c r="E10" s="903"/>
      <c r="F10" s="904"/>
    </row>
    <row r="11" spans="1:6" ht="20.25" customHeight="1">
      <c r="A11" s="910" t="s">
        <v>929</v>
      </c>
      <c r="B11" s="911">
        <v>-3575645.74</v>
      </c>
      <c r="C11" s="902">
        <v>-3927581.340000001</v>
      </c>
      <c r="D11" s="912">
        <f t="shared" si="0"/>
        <v>351935.60000000056</v>
      </c>
      <c r="E11" s="903"/>
      <c r="F11" s="904"/>
    </row>
    <row r="12" spans="1:6" ht="20.25" customHeight="1">
      <c r="A12" s="910" t="s">
        <v>931</v>
      </c>
      <c r="B12" s="911">
        <v>-6325453.37</v>
      </c>
      <c r="C12" s="902">
        <v>-6574677.190000001</v>
      </c>
      <c r="D12" s="912">
        <f t="shared" si="0"/>
        <v>249223.82000000123</v>
      </c>
      <c r="E12" s="903"/>
      <c r="F12" s="904"/>
    </row>
    <row r="13" spans="1:7" ht="20.25" customHeight="1">
      <c r="A13" s="910" t="s">
        <v>970</v>
      </c>
      <c r="B13" s="911">
        <v>-25591438.21</v>
      </c>
      <c r="C13" s="902">
        <v>-25120940.080000002</v>
      </c>
      <c r="D13" s="912">
        <f t="shared" si="0"/>
        <v>-470498.12999999896</v>
      </c>
      <c r="E13" s="903"/>
      <c r="F13" s="904"/>
      <c r="G13" s="903"/>
    </row>
    <row r="14" spans="1:6" ht="20.25" customHeight="1">
      <c r="A14" s="910" t="s">
        <v>917</v>
      </c>
      <c r="B14" s="911">
        <v>-5106249.34</v>
      </c>
      <c r="C14" s="902">
        <v>-5846363.91</v>
      </c>
      <c r="D14" s="912">
        <f t="shared" si="0"/>
        <v>740114.5700000003</v>
      </c>
      <c r="E14" s="903"/>
      <c r="F14" s="904"/>
    </row>
    <row r="15" spans="1:6" ht="20.25" customHeight="1">
      <c r="A15" s="910" t="s">
        <v>971</v>
      </c>
      <c r="B15" s="911">
        <v>-7367070.94</v>
      </c>
      <c r="C15" s="902">
        <v>-7291332.539999999</v>
      </c>
      <c r="D15" s="912">
        <f t="shared" si="0"/>
        <v>-75738.4000000013</v>
      </c>
      <c r="E15" s="903"/>
      <c r="F15" s="904"/>
    </row>
    <row r="16" spans="1:6" ht="20.25" customHeight="1">
      <c r="A16" s="910" t="s">
        <v>936</v>
      </c>
      <c r="B16" s="911">
        <v>-7151697.279999999</v>
      </c>
      <c r="C16" s="902">
        <v>-7040964.89</v>
      </c>
      <c r="D16" s="912">
        <f t="shared" si="0"/>
        <v>-110732.38999999966</v>
      </c>
      <c r="E16" s="903"/>
      <c r="F16" s="904"/>
    </row>
    <row r="17" spans="1:6" ht="20.25" customHeight="1">
      <c r="A17" s="910" t="s">
        <v>941</v>
      </c>
      <c r="B17" s="911">
        <v>-7162077.46</v>
      </c>
      <c r="C17" s="902">
        <v>-6125029.960000001</v>
      </c>
      <c r="D17" s="912">
        <f t="shared" si="0"/>
        <v>-1037047.4999999991</v>
      </c>
      <c r="E17" s="903"/>
      <c r="F17" s="904"/>
    </row>
    <row r="18" spans="1:6" ht="20.25" customHeight="1">
      <c r="A18" s="910" t="s">
        <v>934</v>
      </c>
      <c r="B18" s="911">
        <v>-5511272.07</v>
      </c>
      <c r="C18" s="902">
        <v>-5597779.78</v>
      </c>
      <c r="D18" s="912">
        <f t="shared" si="0"/>
        <v>86507.70999999996</v>
      </c>
      <c r="E18" s="903"/>
      <c r="F18" s="904"/>
    </row>
    <row r="19" spans="1:6" ht="20.25" customHeight="1">
      <c r="A19" s="910" t="s">
        <v>920</v>
      </c>
      <c r="B19" s="911">
        <v>-8903910.04</v>
      </c>
      <c r="C19" s="902">
        <v>-10402078.360000001</v>
      </c>
      <c r="D19" s="912">
        <f t="shared" si="0"/>
        <v>1498168.3200000022</v>
      </c>
      <c r="E19" s="903"/>
      <c r="F19" s="904"/>
    </row>
    <row r="20" spans="1:6" ht="20.25" customHeight="1">
      <c r="A20" s="910" t="s">
        <v>935</v>
      </c>
      <c r="B20" s="911">
        <v>-7666080.250000001</v>
      </c>
      <c r="C20" s="902">
        <v>-7747470.489999999</v>
      </c>
      <c r="D20" s="912">
        <f t="shared" si="0"/>
        <v>81390.23999999836</v>
      </c>
      <c r="E20" s="903"/>
      <c r="F20" s="904"/>
    </row>
    <row r="21" spans="1:6" ht="20.25" customHeight="1">
      <c r="A21" s="910" t="s">
        <v>923</v>
      </c>
      <c r="B21" s="911">
        <v>-11163520.91</v>
      </c>
      <c r="C21" s="902">
        <v>-13004164.86</v>
      </c>
      <c r="D21" s="912">
        <f t="shared" si="0"/>
        <v>1840643.9499999993</v>
      </c>
      <c r="E21" s="903"/>
      <c r="F21" s="904"/>
    </row>
    <row r="22" spans="1:6" ht="20.25" customHeight="1">
      <c r="A22" s="910" t="s">
        <v>915</v>
      </c>
      <c r="B22" s="911">
        <v>-13988087.690000001</v>
      </c>
      <c r="C22" s="902">
        <v>-17130583.03</v>
      </c>
      <c r="D22" s="912">
        <f t="shared" si="0"/>
        <v>3142495.34</v>
      </c>
      <c r="E22" s="903"/>
      <c r="F22" s="904"/>
    </row>
    <row r="23" spans="1:6" ht="20.25" customHeight="1">
      <c r="A23" s="910" t="s">
        <v>930</v>
      </c>
      <c r="B23" s="911">
        <v>-11094364.370000001</v>
      </c>
      <c r="C23" s="902">
        <v>-12210041.21</v>
      </c>
      <c r="D23" s="912">
        <f t="shared" si="0"/>
        <v>1115676.8399999999</v>
      </c>
      <c r="E23" s="903"/>
      <c r="F23" s="904"/>
    </row>
    <row r="24" spans="1:6" ht="20.25" customHeight="1">
      <c r="A24" s="910" t="s">
        <v>911</v>
      </c>
      <c r="B24" s="911">
        <v>-10418704.560000002</v>
      </c>
      <c r="C24" s="902">
        <v>-14704463.829999998</v>
      </c>
      <c r="D24" s="912">
        <f t="shared" si="0"/>
        <v>4285759.269999996</v>
      </c>
      <c r="E24" s="903"/>
      <c r="F24" s="904"/>
    </row>
    <row r="25" spans="1:6" ht="20.25" customHeight="1">
      <c r="A25" s="910" t="s">
        <v>942</v>
      </c>
      <c r="B25" s="911">
        <v>-5049453.919999999</v>
      </c>
      <c r="C25" s="902">
        <v>-4391004.5200000005</v>
      </c>
      <c r="D25" s="912">
        <f t="shared" si="0"/>
        <v>-658449.3999999985</v>
      </c>
      <c r="E25" s="903"/>
      <c r="F25" s="904"/>
    </row>
    <row r="26" spans="1:6" ht="20.25" customHeight="1">
      <c r="A26" s="910" t="s">
        <v>938</v>
      </c>
      <c r="B26" s="911">
        <v>-5674892.81</v>
      </c>
      <c r="C26" s="902">
        <v>-5672247.43</v>
      </c>
      <c r="D26" s="912">
        <f t="shared" si="0"/>
        <v>-2645.3799999998882</v>
      </c>
      <c r="E26" s="903"/>
      <c r="F26" s="904"/>
    </row>
    <row r="27" spans="1:6" ht="20.25" customHeight="1">
      <c r="A27" s="910" t="s">
        <v>924</v>
      </c>
      <c r="B27" s="911">
        <v>-7955585.23</v>
      </c>
      <c r="C27" s="902">
        <v>-9465748.32</v>
      </c>
      <c r="D27" s="912">
        <f t="shared" si="0"/>
        <v>1510163.0899999999</v>
      </c>
      <c r="E27" s="903"/>
      <c r="F27" s="904"/>
    </row>
    <row r="28" spans="1:6" ht="20.25" customHeight="1">
      <c r="A28" s="910" t="s">
        <v>939</v>
      </c>
      <c r="B28" s="911">
        <v>-7199301.92</v>
      </c>
      <c r="C28" s="902">
        <v>-6966553.48</v>
      </c>
      <c r="D28" s="912">
        <f t="shared" si="0"/>
        <v>-232748.43999999948</v>
      </c>
      <c r="E28" s="903"/>
      <c r="F28" s="904"/>
    </row>
    <row r="29" spans="1:6" ht="20.25" customHeight="1">
      <c r="A29" s="910" t="s">
        <v>921</v>
      </c>
      <c r="B29" s="911">
        <v>-1739748.0300000003</v>
      </c>
      <c r="C29" s="902">
        <v>-1812045.06</v>
      </c>
      <c r="D29" s="912">
        <f t="shared" si="0"/>
        <v>72297.0299999998</v>
      </c>
      <c r="E29" s="903"/>
      <c r="F29" s="904"/>
    </row>
    <row r="30" spans="1:6" ht="20.25" customHeight="1">
      <c r="A30" s="910" t="s">
        <v>932</v>
      </c>
      <c r="B30" s="911">
        <v>-2384290.73</v>
      </c>
      <c r="C30" s="902">
        <v>-2325534.85</v>
      </c>
      <c r="D30" s="912">
        <f t="shared" si="0"/>
        <v>-58755.87999999989</v>
      </c>
      <c r="E30" s="903"/>
      <c r="F30" s="904"/>
    </row>
    <row r="31" spans="1:6" ht="20.25" customHeight="1">
      <c r="A31" s="910" t="s">
        <v>943</v>
      </c>
      <c r="B31" s="911">
        <v>-10395773.529999997</v>
      </c>
      <c r="C31" s="902">
        <v>-8585386.719999999</v>
      </c>
      <c r="D31" s="912">
        <f t="shared" si="0"/>
        <v>-1810386.8099999987</v>
      </c>
      <c r="E31" s="903"/>
      <c r="F31" s="904"/>
    </row>
    <row r="32" spans="1:6" ht="20.25" customHeight="1">
      <c r="A32" s="910" t="s">
        <v>933</v>
      </c>
      <c r="B32" s="911">
        <v>-3310464.7800000003</v>
      </c>
      <c r="C32" s="902">
        <v>-3807591.6100000003</v>
      </c>
      <c r="D32" s="912">
        <f t="shared" si="0"/>
        <v>497126.8300000001</v>
      </c>
      <c r="E32" s="903"/>
      <c r="F32" s="904"/>
    </row>
    <row r="33" spans="1:6" ht="20.25" customHeight="1">
      <c r="A33" s="910" t="s">
        <v>927</v>
      </c>
      <c r="B33" s="911">
        <v>-12570182.7</v>
      </c>
      <c r="C33" s="902">
        <v>-12737838.43</v>
      </c>
      <c r="D33" s="912">
        <f t="shared" si="0"/>
        <v>167655.73000000045</v>
      </c>
      <c r="E33" s="903"/>
      <c r="F33" s="904"/>
    </row>
    <row r="34" spans="1:6" ht="20.25" customHeight="1">
      <c r="A34" s="910" t="s">
        <v>914</v>
      </c>
      <c r="B34" s="911">
        <v>-14833399.79</v>
      </c>
      <c r="C34" s="902">
        <v>-17235642.44</v>
      </c>
      <c r="D34" s="912">
        <f t="shared" si="0"/>
        <v>2402242.6500000022</v>
      </c>
      <c r="E34" s="903"/>
      <c r="F34" s="904"/>
    </row>
    <row r="35" spans="1:6" ht="20.25" customHeight="1">
      <c r="A35" s="910" t="s">
        <v>912</v>
      </c>
      <c r="B35" s="911">
        <v>-1241342.2600000002</v>
      </c>
      <c r="C35" s="902">
        <v>-1352071.8</v>
      </c>
      <c r="D35" s="912">
        <f t="shared" si="0"/>
        <v>110729.5399999998</v>
      </c>
      <c r="E35" s="903"/>
      <c r="F35" s="904"/>
    </row>
    <row r="36" spans="1:6" ht="20.25" customHeight="1">
      <c r="A36" s="910" t="s">
        <v>972</v>
      </c>
      <c r="B36" s="911">
        <v>-3511734.5199999996</v>
      </c>
      <c r="C36" s="902">
        <v>-3316482.4899999993</v>
      </c>
      <c r="D36" s="912">
        <f t="shared" si="0"/>
        <v>-195252.03000000026</v>
      </c>
      <c r="E36" s="903"/>
      <c r="F36" s="904"/>
    </row>
    <row r="37" spans="1:6" ht="20.25" customHeight="1">
      <c r="A37" s="910" t="s">
        <v>928</v>
      </c>
      <c r="B37" s="911">
        <v>-8228092.49</v>
      </c>
      <c r="C37" s="902">
        <v>-8589474.340000002</v>
      </c>
      <c r="D37" s="912">
        <f t="shared" si="0"/>
        <v>361381.8500000015</v>
      </c>
      <c r="E37" s="903"/>
      <c r="F37" s="904"/>
    </row>
    <row r="38" spans="1:6" ht="20.25" customHeight="1">
      <c r="A38" s="910" t="s">
        <v>937</v>
      </c>
      <c r="B38" s="911">
        <v>-5525220.15</v>
      </c>
      <c r="C38" s="902">
        <v>-5549806.31</v>
      </c>
      <c r="D38" s="912">
        <f t="shared" si="0"/>
        <v>24586.159999999218</v>
      </c>
      <c r="E38" s="903"/>
      <c r="F38" s="904"/>
    </row>
    <row r="39" spans="1:6" ht="20.25" customHeight="1">
      <c r="A39" s="910" t="s">
        <v>926</v>
      </c>
      <c r="B39" s="911">
        <v>-9914507.34</v>
      </c>
      <c r="C39" s="902">
        <v>-11313391.3</v>
      </c>
      <c r="D39" s="912">
        <f t="shared" si="0"/>
        <v>1398883.960000001</v>
      </c>
      <c r="E39" s="903"/>
      <c r="F39" s="904"/>
    </row>
    <row r="40" spans="1:13" ht="25.5" customHeight="1">
      <c r="A40" s="913" t="s">
        <v>4</v>
      </c>
      <c r="B40" s="914">
        <f>SUM(B4:B39)</f>
        <v>-350766760.96999985</v>
      </c>
      <c r="C40" s="915">
        <f>SUM(C4:C39)</f>
        <v>-389089933.7700001</v>
      </c>
      <c r="D40" s="916">
        <f>SUM(D4:D39)</f>
        <v>38323172.80000002</v>
      </c>
      <c r="E40" s="904"/>
      <c r="M40" s="905"/>
    </row>
    <row r="41" ht="13.5">
      <c r="C41" s="904"/>
    </row>
    <row r="42" spans="1:4" ht="51" customHeight="1">
      <c r="A42" s="906"/>
      <c r="B42" s="1085"/>
      <c r="C42" s="1086"/>
      <c r="D42" s="1086"/>
    </row>
  </sheetData>
  <sheetProtection/>
  <mergeCells count="2">
    <mergeCell ref="A1:D1"/>
    <mergeCell ref="B42:D42"/>
  </mergeCells>
  <printOptions/>
  <pageMargins left="0.7874015748031497" right="0.47" top="0.99" bottom="0.66" header="0.9055118110236221" footer="0.5118110236220472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5:J18"/>
  <sheetViews>
    <sheetView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16.140625" style="917" customWidth="1"/>
    <col min="2" max="2" width="16.7109375" style="917" bestFit="1" customWidth="1"/>
    <col min="3" max="3" width="26.8515625" style="917" customWidth="1"/>
    <col min="4" max="4" width="18.421875" style="917" customWidth="1"/>
    <col min="5" max="5" width="13.57421875" style="917" customWidth="1"/>
    <col min="6" max="6" width="14.28125" style="917" customWidth="1"/>
    <col min="7" max="7" width="12.421875" style="917" bestFit="1" customWidth="1"/>
    <col min="8" max="8" width="13.57421875" style="917" bestFit="1" customWidth="1"/>
    <col min="9" max="9" width="16.28125" style="917" customWidth="1"/>
    <col min="10" max="10" width="15.421875" style="917" customWidth="1"/>
    <col min="11" max="250" width="9.140625" style="917" customWidth="1"/>
    <col min="251" max="252" width="18.00390625" style="917" customWidth="1"/>
    <col min="253" max="253" width="22.28125" style="917" customWidth="1"/>
    <col min="254" max="254" width="20.140625" style="917" customWidth="1"/>
    <col min="255" max="255" width="17.28125" style="917" customWidth="1"/>
    <col min="256" max="16384" width="9.140625" style="917" customWidth="1"/>
  </cols>
  <sheetData>
    <row r="5" spans="1:5" ht="30.75" customHeight="1">
      <c r="A5" s="1087" t="s">
        <v>1143</v>
      </c>
      <c r="B5" s="1087"/>
      <c r="C5" s="1087"/>
      <c r="D5" s="1087"/>
      <c r="E5" s="918"/>
    </row>
    <row r="6" spans="1:5" ht="51.75" customHeight="1">
      <c r="A6" s="919"/>
      <c r="B6" s="920" t="s">
        <v>973</v>
      </c>
      <c r="C6" s="920" t="s">
        <v>974</v>
      </c>
      <c r="D6" s="920" t="s">
        <v>975</v>
      </c>
      <c r="E6" s="921"/>
    </row>
    <row r="7" spans="1:10" ht="23.25" customHeight="1">
      <c r="A7" s="919" t="s">
        <v>976</v>
      </c>
      <c r="B7" s="922">
        <v>16764</v>
      </c>
      <c r="C7" s="923">
        <v>10220.868922137937</v>
      </c>
      <c r="D7" s="923">
        <v>522.4075499999993</v>
      </c>
      <c r="E7" s="895"/>
      <c r="F7" s="895"/>
      <c r="G7" s="895"/>
      <c r="H7" s="895"/>
      <c r="I7" s="895"/>
      <c r="J7" s="895"/>
    </row>
    <row r="8" spans="1:10" ht="23.25" customHeight="1">
      <c r="A8" s="919" t="s">
        <v>977</v>
      </c>
      <c r="B8" s="922">
        <v>30975</v>
      </c>
      <c r="C8" s="923">
        <v>19254.5123181386</v>
      </c>
      <c r="D8" s="923">
        <v>1797.3535799999959</v>
      </c>
      <c r="E8" s="895"/>
      <c r="F8" s="895"/>
      <c r="G8" s="895"/>
      <c r="H8" s="895"/>
      <c r="I8" s="895"/>
      <c r="J8" s="895"/>
    </row>
    <row r="9" spans="1:10" ht="23.25" customHeight="1">
      <c r="A9" s="919" t="s">
        <v>978</v>
      </c>
      <c r="B9" s="922">
        <v>46468</v>
      </c>
      <c r="C9" s="923">
        <v>28237.713393139737</v>
      </c>
      <c r="D9" s="923">
        <v>3972.80352999999</v>
      </c>
      <c r="E9" s="895"/>
      <c r="F9" s="895"/>
      <c r="G9" s="895"/>
      <c r="H9" s="895"/>
      <c r="I9" s="895"/>
      <c r="J9" s="895"/>
    </row>
    <row r="10" spans="1:10" ht="23.25" customHeight="1">
      <c r="A10" s="919" t="s">
        <v>979</v>
      </c>
      <c r="B10" s="922">
        <v>58124</v>
      </c>
      <c r="C10" s="923">
        <v>34500.99803513992</v>
      </c>
      <c r="D10" s="923">
        <v>6261.12778999998</v>
      </c>
      <c r="E10" s="895"/>
      <c r="F10" s="895"/>
      <c r="G10" s="895"/>
      <c r="H10" s="895"/>
      <c r="I10" s="895"/>
      <c r="J10" s="895"/>
    </row>
    <row r="11" spans="1:10" ht="23.25" customHeight="1">
      <c r="A11" s="919" t="s">
        <v>980</v>
      </c>
      <c r="B11" s="922">
        <v>68686</v>
      </c>
      <c r="C11" s="923">
        <v>39853.63004762938</v>
      </c>
      <c r="D11" s="923">
        <v>8317.764609999966</v>
      </c>
      <c r="E11" s="895"/>
      <c r="F11" s="895"/>
      <c r="G11" s="895"/>
      <c r="H11" s="895"/>
      <c r="I11" s="895"/>
      <c r="J11" s="895"/>
    </row>
    <row r="12" spans="1:10" ht="23.25" customHeight="1">
      <c r="A12" s="919" t="s">
        <v>981</v>
      </c>
      <c r="B12" s="922">
        <v>82522</v>
      </c>
      <c r="C12" s="923">
        <v>51015.888485629635</v>
      </c>
      <c r="D12" s="923">
        <v>10310.54189999996</v>
      </c>
      <c r="E12" s="895"/>
      <c r="F12" s="895"/>
      <c r="G12" s="895"/>
      <c r="H12" s="895"/>
      <c r="I12" s="895"/>
      <c r="J12" s="895"/>
    </row>
    <row r="13" spans="1:10" ht="23.25" customHeight="1">
      <c r="A13" s="919" t="s">
        <v>982</v>
      </c>
      <c r="B13" s="922">
        <v>93380</v>
      </c>
      <c r="C13" s="923">
        <v>60430.42189263796</v>
      </c>
      <c r="D13" s="923">
        <v>13419.982819999961</v>
      </c>
      <c r="E13" s="895"/>
      <c r="F13" s="895"/>
      <c r="G13" s="895"/>
      <c r="H13" s="895"/>
      <c r="I13" s="895"/>
      <c r="J13" s="895"/>
    </row>
    <row r="14" spans="1:10" ht="23.25" customHeight="1">
      <c r="A14" s="919" t="s">
        <v>983</v>
      </c>
      <c r="B14" s="922">
        <v>102609</v>
      </c>
      <c r="C14" s="923">
        <v>68780.66479263773</v>
      </c>
      <c r="D14" s="923">
        <v>16463.927669999972</v>
      </c>
      <c r="E14" s="895"/>
      <c r="F14" s="895"/>
      <c r="G14" s="895"/>
      <c r="H14" s="895"/>
      <c r="I14" s="895"/>
      <c r="J14" s="895"/>
    </row>
    <row r="15" spans="1:10" ht="24.75" customHeight="1">
      <c r="A15" s="919" t="s">
        <v>984</v>
      </c>
      <c r="B15" s="922">
        <v>113828</v>
      </c>
      <c r="C15" s="923">
        <v>78048.35771263749</v>
      </c>
      <c r="D15" s="923">
        <v>20133.858389999994</v>
      </c>
      <c r="E15" s="895"/>
      <c r="F15" s="895"/>
      <c r="G15" s="895"/>
      <c r="H15" s="895"/>
      <c r="I15" s="895"/>
      <c r="J15" s="895"/>
    </row>
    <row r="16" spans="1:10" ht="19.5" customHeight="1">
      <c r="A16" s="919" t="s">
        <v>985</v>
      </c>
      <c r="B16" s="922">
        <v>127346</v>
      </c>
      <c r="C16" s="923">
        <v>89544.30058252765</v>
      </c>
      <c r="D16" s="923">
        <v>24178.032550000018</v>
      </c>
      <c r="E16" s="895"/>
      <c r="F16" s="895"/>
      <c r="G16" s="895"/>
      <c r="H16" s="895"/>
      <c r="I16" s="895"/>
      <c r="J16" s="895"/>
    </row>
    <row r="17" spans="1:10" ht="21" customHeight="1">
      <c r="A17" s="919" t="s">
        <v>986</v>
      </c>
      <c r="B17" s="922">
        <v>135486</v>
      </c>
      <c r="C17" s="923">
        <v>97868.69126452762</v>
      </c>
      <c r="D17" s="923">
        <v>27794.92608400005</v>
      </c>
      <c r="F17" s="895"/>
      <c r="G17" s="895"/>
      <c r="H17" s="895"/>
      <c r="I17" s="895"/>
      <c r="J17" s="895"/>
    </row>
    <row r="18" spans="1:10" ht="23.25" customHeight="1">
      <c r="A18" s="919" t="s">
        <v>987</v>
      </c>
      <c r="B18" s="922">
        <v>141661</v>
      </c>
      <c r="C18" s="923">
        <v>104232.59254452762</v>
      </c>
      <c r="D18" s="923">
        <v>31384.705554000073</v>
      </c>
      <c r="G18" s="895"/>
      <c r="H18" s="895"/>
      <c r="I18" s="895"/>
      <c r="J18" s="895"/>
    </row>
  </sheetData>
  <sheetProtection/>
  <mergeCells count="1">
    <mergeCell ref="A5:D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Socialna poistovna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ba-korsepova_m</dc:creator>
  <cp:keywords/>
  <dc:description/>
  <cp:lastModifiedBy>SP-Admin</cp:lastModifiedBy>
  <cp:lastPrinted>2014-02-10T07:05:19Z</cp:lastPrinted>
  <dcterms:created xsi:type="dcterms:W3CDTF">2007-11-13T07:23:54Z</dcterms:created>
  <dcterms:modified xsi:type="dcterms:W3CDTF">2014-03-13T09:22:12Z</dcterms:modified>
  <cp:category/>
  <cp:version/>
  <cp:contentType/>
  <cp:contentStatus/>
</cp:coreProperties>
</file>