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chartsheets/sheet1.xml" ContentType="application/vnd.openxmlformats-officedocument.spreadsheetml.chartsheet+xml"/>
  <Override PartName="/xl/drawings/drawing4.xml" ContentType="application/vnd.openxmlformats-officedocument.drawing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76" windowWidth="10428" windowHeight="6048" tabRatio="848" activeTab="3"/>
  </bookViews>
  <sheets>
    <sheet name="Súhrnná bilancia" sheetId="1" r:id="rId1"/>
    <sheet name="vývoj príjmov" sheetId="2" r:id="rId2"/>
    <sheet name="Príjmy rozdelenie" sheetId="3" r:id="rId3"/>
    <sheet name="Vývoj pohľadávok" sheetId="4" r:id="rId4"/>
    <sheet name="graf pohľadávky" sheetId="5" r:id="rId5"/>
    <sheet name="Stav pohľ.podľa poboč 12 12 " sheetId="6" r:id="rId6"/>
    <sheet name="Pohľ.podľa spôsobov vymáhania" sheetId="7" r:id="rId7"/>
    <sheet name="Opravné položky" sheetId="8" r:id="rId8"/>
    <sheet name="Exekučné návrhy" sheetId="9" r:id="rId9"/>
    <sheet name="Vydané rozhodnutia SK " sheetId="10" r:id="rId10"/>
    <sheet name="Mandátna správa" sheetId="11" r:id="rId11"/>
    <sheet name="Pohľadávky voči  ZZ" sheetId="12" r:id="rId12"/>
    <sheet name="Pohľadávky podľa pobočiek  ZZ" sheetId="13" r:id="rId13"/>
    <sheet name="V po fondoch podrobne " sheetId="14" r:id="rId14"/>
    <sheet name="V delenie mesačne " sheetId="15" r:id="rId15"/>
    <sheet name="P a V hradené štátom" sheetId="16" r:id="rId16"/>
    <sheet name="zostatky a účtoch" sheetId="17" r:id="rId17"/>
    <sheet name="2011 a 2012" sheetId="18" r:id="rId18"/>
    <sheet name="Graf" sheetId="19" r:id="rId19"/>
    <sheet name="SF" sheetId="20" r:id="rId20"/>
    <sheet name="spolu 600" sheetId="21" r:id="rId21"/>
    <sheet name="spolu 700" sheetId="22" r:id="rId22"/>
    <sheet name="600 ústredie" sheetId="23" r:id="rId23"/>
    <sheet name="Hárok1" sheetId="24" r:id="rId24"/>
  </sheets>
  <externalReferences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</externalReferences>
  <definedNames>
    <definedName name="________________________col8">#REF!</definedName>
    <definedName name="_______________________col1">#REF!</definedName>
    <definedName name="_______________________col2">#REF!</definedName>
    <definedName name="_______________________col3">#REF!</definedName>
    <definedName name="_______________________col4">#REF!</definedName>
    <definedName name="_______________________col5">#REF!</definedName>
    <definedName name="_______________________col6">#REF!</definedName>
    <definedName name="_______________________col7">#REF!</definedName>
    <definedName name="_______________________col8">#REF!</definedName>
    <definedName name="______________________col1">#REF!</definedName>
    <definedName name="______________________col2">#REF!</definedName>
    <definedName name="______________________col3">#REF!</definedName>
    <definedName name="______________________col4">#REF!</definedName>
    <definedName name="______________________col5">#REF!</definedName>
    <definedName name="______________________col6">#REF!</definedName>
    <definedName name="______________________col7">#REF!</definedName>
    <definedName name="______________________col8" localSheetId="5">#REF!</definedName>
    <definedName name="_____________________col1" localSheetId="5">#REF!</definedName>
    <definedName name="_____________________col2" localSheetId="5">#REF!</definedName>
    <definedName name="_____________________col3" localSheetId="5">#REF!</definedName>
    <definedName name="_____________________col4" localSheetId="5">#REF!</definedName>
    <definedName name="_____________________col5" localSheetId="5">#REF!</definedName>
    <definedName name="_____________________col6" localSheetId="5">#REF!</definedName>
    <definedName name="_____________________col7" localSheetId="5">#REF!</definedName>
    <definedName name="_____________________col8" localSheetId="6">#REF!</definedName>
    <definedName name="____________________col1" localSheetId="6">#REF!</definedName>
    <definedName name="____________________col2" localSheetId="6">#REF!</definedName>
    <definedName name="____________________col3" localSheetId="6">#REF!</definedName>
    <definedName name="____________________col4" localSheetId="6">#REF!</definedName>
    <definedName name="____________________col5" localSheetId="6">#REF!</definedName>
    <definedName name="____________________col6" localSheetId="6">#REF!</definedName>
    <definedName name="____________________col7" localSheetId="6">#REF!</definedName>
    <definedName name="____________________col8">#REF!</definedName>
    <definedName name="___________________col1">#REF!</definedName>
    <definedName name="___________________col2">#REF!</definedName>
    <definedName name="___________________col3">#REF!</definedName>
    <definedName name="___________________col4">#REF!</definedName>
    <definedName name="___________________col5">#REF!</definedName>
    <definedName name="___________________col6">#REF!</definedName>
    <definedName name="___________________col7">#REF!</definedName>
    <definedName name="___________________col8">#REF!</definedName>
    <definedName name="__________________col1">#REF!</definedName>
    <definedName name="__________________col2">#REF!</definedName>
    <definedName name="__________________col3">#REF!</definedName>
    <definedName name="__________________col4">#REF!</definedName>
    <definedName name="__________________col5">#REF!</definedName>
    <definedName name="__________________col6">#REF!</definedName>
    <definedName name="__________________col7">#REF!</definedName>
    <definedName name="__________________col8">#REF!</definedName>
    <definedName name="_________________col1">#REF!</definedName>
    <definedName name="_________________col2">#REF!</definedName>
    <definedName name="_________________col3">#REF!</definedName>
    <definedName name="_________________col4">#REF!</definedName>
    <definedName name="_________________col5">#REF!</definedName>
    <definedName name="_________________col6">#REF!</definedName>
    <definedName name="_________________col7">#REF!</definedName>
    <definedName name="_________________col8">#REF!</definedName>
    <definedName name="________________col1">#REF!</definedName>
    <definedName name="________________col2">#REF!</definedName>
    <definedName name="________________col3">#REF!</definedName>
    <definedName name="________________col4">#REF!</definedName>
    <definedName name="________________col5">#REF!</definedName>
    <definedName name="________________col6">#REF!</definedName>
    <definedName name="________________col7">#REF!</definedName>
    <definedName name="________________col8">#REF!</definedName>
    <definedName name="_______________col1" localSheetId="7">#REF!</definedName>
    <definedName name="_______________col2" localSheetId="7">#REF!</definedName>
    <definedName name="_______________col3" localSheetId="7">#REF!</definedName>
    <definedName name="_______________col4" localSheetId="7">#REF!</definedName>
    <definedName name="_______________col5" localSheetId="7">#REF!</definedName>
    <definedName name="_______________col6" localSheetId="7">#REF!</definedName>
    <definedName name="_______________col7" localSheetId="7">#REF!</definedName>
    <definedName name="_______________col8">#REF!</definedName>
    <definedName name="______________col1">#REF!</definedName>
    <definedName name="______________col2">#REF!</definedName>
    <definedName name="______________col3">#REF!</definedName>
    <definedName name="______________col4">#REF!</definedName>
    <definedName name="______________col5">#REF!</definedName>
    <definedName name="______________col6">#REF!</definedName>
    <definedName name="______________col7">#REF!</definedName>
    <definedName name="______________col8">#REF!</definedName>
    <definedName name="_____________col1">#REF!</definedName>
    <definedName name="_____________col2">#REF!</definedName>
    <definedName name="_____________col3">#REF!</definedName>
    <definedName name="_____________col4">#REF!</definedName>
    <definedName name="_____________col5">#REF!</definedName>
    <definedName name="_____________col6">#REF!</definedName>
    <definedName name="_____________col7">#REF!</definedName>
    <definedName name="_____________col8">#REF!</definedName>
    <definedName name="____________col1">#REF!</definedName>
    <definedName name="____________col2">#REF!</definedName>
    <definedName name="____________col3">#REF!</definedName>
    <definedName name="____________col4">#REF!</definedName>
    <definedName name="____________col5">#REF!</definedName>
    <definedName name="____________col6">#REF!</definedName>
    <definedName name="____________col7">#REF!</definedName>
    <definedName name="____________col8">#REF!</definedName>
    <definedName name="___________col1">#REF!</definedName>
    <definedName name="___________col2">#REF!</definedName>
    <definedName name="___________col3">#REF!</definedName>
    <definedName name="___________col4">#REF!</definedName>
    <definedName name="___________col5">#REF!</definedName>
    <definedName name="___________col6">#REF!</definedName>
    <definedName name="___________col7">#REF!</definedName>
    <definedName name="___________col8">#REF!</definedName>
    <definedName name="__________col1">#REF!</definedName>
    <definedName name="__________col2">#REF!</definedName>
    <definedName name="__________col3">#REF!</definedName>
    <definedName name="__________col4">#REF!</definedName>
    <definedName name="__________col5">#REF!</definedName>
    <definedName name="__________col6">#REF!</definedName>
    <definedName name="__________col7">#REF!</definedName>
    <definedName name="__________col8">#REF!</definedName>
    <definedName name="_________col1">#REF!</definedName>
    <definedName name="_________col2">#REF!</definedName>
    <definedName name="_________col3">#REF!</definedName>
    <definedName name="_________col4">#REF!</definedName>
    <definedName name="_________col5">#REF!</definedName>
    <definedName name="_________col6">#REF!</definedName>
    <definedName name="_________col7">#REF!</definedName>
    <definedName name="_________col8">#REF!</definedName>
    <definedName name="________col1">#REF!</definedName>
    <definedName name="________col2">#REF!</definedName>
    <definedName name="________col3">#REF!</definedName>
    <definedName name="________col4">#REF!</definedName>
    <definedName name="________col5">#REF!</definedName>
    <definedName name="________col6">#REF!</definedName>
    <definedName name="________col7">#REF!</definedName>
    <definedName name="________col8">#REF!</definedName>
    <definedName name="_______col1">#REF!</definedName>
    <definedName name="_______col2">#REF!</definedName>
    <definedName name="_______col3">#REF!</definedName>
    <definedName name="_______col4">#REF!</definedName>
    <definedName name="_______col5">#REF!</definedName>
    <definedName name="_______col6">#REF!</definedName>
    <definedName name="_______col7">#REF!</definedName>
    <definedName name="_______col8" localSheetId="13">#REF!</definedName>
    <definedName name="_______col8">#REF!</definedName>
    <definedName name="______col1">#REF!</definedName>
    <definedName name="______col2">#REF!</definedName>
    <definedName name="______col3">#REF!</definedName>
    <definedName name="______col4">#REF!</definedName>
    <definedName name="______col5">#REF!</definedName>
    <definedName name="______col6">#REF!</definedName>
    <definedName name="______col7">#REF!</definedName>
    <definedName name="______col8" localSheetId="7">#REF!</definedName>
    <definedName name="_____col1" localSheetId="13">#REF!</definedName>
    <definedName name="_____col1">#REF!</definedName>
    <definedName name="_____col2">#REF!</definedName>
    <definedName name="_____col3">#REF!</definedName>
    <definedName name="_____col4">#REF!</definedName>
    <definedName name="_____col5">#REF!</definedName>
    <definedName name="_____col6">#REF!</definedName>
    <definedName name="_____col7">#REF!</definedName>
    <definedName name="_____col8" localSheetId="4">#REF!</definedName>
    <definedName name="____col1">#REF!</definedName>
    <definedName name="____col2">#REF!</definedName>
    <definedName name="____col3">#REF!</definedName>
    <definedName name="____col4">#REF!</definedName>
    <definedName name="____col5">#REF!</definedName>
    <definedName name="____col6">#REF!</definedName>
    <definedName name="____col7">#REF!</definedName>
    <definedName name="____col8">#REF!</definedName>
    <definedName name="___col1">#REF!</definedName>
    <definedName name="___col2">#REF!</definedName>
    <definedName name="___col3">#REF!</definedName>
    <definedName name="___col4">#REF!</definedName>
    <definedName name="___col5">#REF!</definedName>
    <definedName name="___col6">#REF!</definedName>
    <definedName name="___col7">#REF!</definedName>
    <definedName name="___col8">#REF!</definedName>
    <definedName name="__col1">#REF!</definedName>
    <definedName name="__col2">#REF!</definedName>
    <definedName name="__col255">#REF!</definedName>
    <definedName name="__col3">#REF!</definedName>
    <definedName name="__col4">#REF!</definedName>
    <definedName name="__col5">#REF!</definedName>
    <definedName name="__col6">#REF!</definedName>
    <definedName name="__col7">#REF!</definedName>
    <definedName name="__col8">#REF!</definedName>
    <definedName name="_col1">#REF!</definedName>
    <definedName name="_col2">#REF!</definedName>
    <definedName name="_col255">#REF!</definedName>
    <definedName name="_col3">#REF!</definedName>
    <definedName name="_col4">#REF!</definedName>
    <definedName name="_col5">#REF!</definedName>
    <definedName name="_col6">#REF!</definedName>
    <definedName name="_col7">#REF!</definedName>
    <definedName name="_col8">#REF!</definedName>
    <definedName name="a" localSheetId="4">#REF!</definedName>
    <definedName name="a" localSheetId="7">#REF!</definedName>
    <definedName name="a" localSheetId="6">#REF!</definedName>
    <definedName name="a" localSheetId="5">#REF!</definedName>
    <definedName name="a">#REF!</definedName>
    <definedName name="aa">'[1]Budoucí hodnota - zadání'!#REF!</definedName>
    <definedName name="aaa" localSheetId="7">#REF!</definedName>
    <definedName name="aaa" localSheetId="6">#REF!</definedName>
    <definedName name="aaa" localSheetId="5">#REF!</definedName>
    <definedName name="aaa">#REF!</definedName>
    <definedName name="ab">#REF!</definedName>
    <definedName name="bbb">#REF!</definedName>
    <definedName name="BudgetTab" localSheetId="4">#REF!</definedName>
    <definedName name="BudgetTab" localSheetId="7">#REF!</definedName>
    <definedName name="BudgetTab" localSheetId="6">#REF!</definedName>
    <definedName name="BudgetTab" localSheetId="5">#REF!</definedName>
    <definedName name="BudgetTab">#REF!</definedName>
    <definedName name="ccc">#REF!</definedName>
    <definedName name="Celk_Zisk" localSheetId="7">'[2]Scénář'!$E$15</definedName>
    <definedName name="Celk_Zisk" localSheetId="6">'[2]Scénář'!$E$15</definedName>
    <definedName name="Celk_Zisk" localSheetId="5">'[2]Scénář'!$E$15</definedName>
    <definedName name="Celk_Zisk">'[2]Scénář'!$E$15</definedName>
    <definedName name="CelkZisk" localSheetId="7">#REF!</definedName>
    <definedName name="CelkZisk" localSheetId="6">#REF!</definedName>
    <definedName name="CelkZisk" localSheetId="5">#REF!</definedName>
    <definedName name="CelkZisk" localSheetId="13">#REF!</definedName>
    <definedName name="CelkZisk">#REF!</definedName>
    <definedName name="datumK" localSheetId="7">#REF!</definedName>
    <definedName name="datumK" localSheetId="6">#REF!</definedName>
    <definedName name="datumK" localSheetId="5">#REF!</definedName>
    <definedName name="datumK" localSheetId="13">#REF!</definedName>
    <definedName name="datumK">#REF!</definedName>
    <definedName name="ehdxjxrf" localSheetId="7">#REF!</definedName>
    <definedName name="ehdxjxrf" localSheetId="6">#REF!</definedName>
    <definedName name="ehdxjxrf" localSheetId="5">#REF!</definedName>
    <definedName name="ehdxjxrf" localSheetId="13">#REF!</definedName>
    <definedName name="ehdxjxrf">#REF!</definedName>
    <definedName name="Format" localSheetId="4">#REF!</definedName>
    <definedName name="Format" localSheetId="7">#REF!</definedName>
    <definedName name="Format" localSheetId="6">#REF!</definedName>
    <definedName name="Format" localSheetId="5">#REF!</definedName>
    <definedName name="Format">#REF!</definedName>
    <definedName name="HrubyZisk" localSheetId="7">#REF!</definedName>
    <definedName name="HrubyZisk" localSheetId="6">#REF!</definedName>
    <definedName name="HrubyZisk" localSheetId="5">#REF!</definedName>
    <definedName name="HrubyZisk">#REF!</definedName>
    <definedName name="jún">'[1]Budoucí hodnota - zadání'!#REF!</definedName>
    <definedName name="k">#REF!</definedName>
    <definedName name="mmm">#REF!</definedName>
    <definedName name="_xlnm.Print_Titles" localSheetId="12">'Pohľadávky podľa pobočiek  ZZ'!$2:$3</definedName>
    <definedName name="NZbozi">'[3]Test1'!$B$89:$D$96</definedName>
    <definedName name="obraz" localSheetId="7">#REF!</definedName>
    <definedName name="obraz" localSheetId="6">#REF!</definedName>
    <definedName name="obraz" localSheetId="5">#REF!</definedName>
    <definedName name="obraz">#REF!</definedName>
    <definedName name="Opravy" localSheetId="7">#REF!</definedName>
    <definedName name="Opravy" localSheetId="6">#REF!</definedName>
    <definedName name="Opravy" localSheetId="5">#REF!</definedName>
    <definedName name="Opravy" localSheetId="13">#REF!</definedName>
    <definedName name="Opravy">#REF!</definedName>
    <definedName name="Ostatni" localSheetId="7">#REF!</definedName>
    <definedName name="Ostatni" localSheetId="6">#REF!</definedName>
    <definedName name="Ostatni" localSheetId="5">#REF!</definedName>
    <definedName name="Ostatni">#REF!</definedName>
    <definedName name="PocetNavstev" localSheetId="7">#REF!</definedName>
    <definedName name="PocetNavstev" localSheetId="6">#REF!</definedName>
    <definedName name="PocetNavstev" localSheetId="5">#REF!</definedName>
    <definedName name="PocetNavstev">#REF!</definedName>
    <definedName name="PrijemNaZakaz" localSheetId="7">#REF!</definedName>
    <definedName name="PrijemNaZakaz" localSheetId="6">#REF!</definedName>
    <definedName name="PrijemNaZakaz" localSheetId="5">#REF!</definedName>
    <definedName name="PrijemNaZakaz">#REF!</definedName>
    <definedName name="produkt" localSheetId="4">'[1]Budoucí hodnota - zadání'!#REF!</definedName>
    <definedName name="produkt" localSheetId="7">'[1]Budoucí hodnota - zadání'!#REF!</definedName>
    <definedName name="produkt" localSheetId="6">'[1]Budoucí hodnota - zadání'!#REF!</definedName>
    <definedName name="produkt" localSheetId="5">'[1]Budoucí hodnota - zadání'!#REF!</definedName>
    <definedName name="produkt">'[1]Budoucí hodnota - zadání'!#REF!</definedName>
    <definedName name="produkt22">'[4]Budoucí hodnota - zadání'!#REF!</definedName>
    <definedName name="PRODUKT3">'[4]Budoucí hodnota - zadání'!#REF!</definedName>
    <definedName name="Reklama" localSheetId="7">#REF!</definedName>
    <definedName name="Reklama" localSheetId="6">#REF!</definedName>
    <definedName name="Reklama" localSheetId="5">#REF!</definedName>
    <definedName name="Reklama">#REF!</definedName>
    <definedName name="Revenue" localSheetId="7">#REF!</definedName>
    <definedName name="Revenue" localSheetId="6">#REF!</definedName>
    <definedName name="Revenue" localSheetId="5">#REF!</definedName>
    <definedName name="Revenue" localSheetId="13">#REF!</definedName>
    <definedName name="Revenue">#REF!</definedName>
    <definedName name="TableArea" localSheetId="4">#REF!</definedName>
    <definedName name="TableArea" localSheetId="7">#REF!</definedName>
    <definedName name="TableArea" localSheetId="6">#REF!</definedName>
    <definedName name="TableArea" localSheetId="5">#REF!</definedName>
    <definedName name="TableArea">#REF!</definedName>
    <definedName name="tabulky" localSheetId="7">#REF!</definedName>
    <definedName name="tabulky" localSheetId="6">#REF!</definedName>
    <definedName name="tabulky" localSheetId="5">#REF!</definedName>
    <definedName name="tabulky">#REF!</definedName>
    <definedName name="VydajeNaZakaz" localSheetId="7">#REF!</definedName>
    <definedName name="VydajeNaZakaz" localSheetId="6">#REF!</definedName>
    <definedName name="VydajeNaZakaz" localSheetId="5">#REF!</definedName>
    <definedName name="VydajeNaZakaz">#REF!</definedName>
    <definedName name="Vyplaty" localSheetId="7">#REF!</definedName>
    <definedName name="Vyplaty" localSheetId="6">#REF!</definedName>
    <definedName name="Vyplaty" localSheetId="5">#REF!</definedName>
    <definedName name="Vyplaty">#REF!</definedName>
    <definedName name="x">#REF!</definedName>
    <definedName name="Zarizeni" localSheetId="7">#REF!</definedName>
    <definedName name="Zarizeni" localSheetId="6">#REF!</definedName>
    <definedName name="Zarizeni" localSheetId="5">#REF!</definedName>
    <definedName name="Zarizeni">#REF!</definedName>
    <definedName name="Zásoby" localSheetId="7">#REF!</definedName>
    <definedName name="Zásoby" localSheetId="6">#REF!</definedName>
    <definedName name="Zásoby" localSheetId="5">#REF!</definedName>
    <definedName name="Zásoby">#REF!</definedName>
    <definedName name="Zbozi" localSheetId="7">'[5]Test1'!$B$89:$D$96</definedName>
    <definedName name="Zbozi" localSheetId="6">'[5]Test1'!$B$89:$D$96</definedName>
    <definedName name="Zbozi" localSheetId="5">'[5]Test1'!$B$89:$D$96</definedName>
    <definedName name="Zbozi">'[5]Test1'!$B$89:$D$96</definedName>
    <definedName name="ZboziN">'[6]Test1'!$B$89:$D$96</definedName>
    <definedName name="zugskrheiogwe" localSheetId="7">#REF!</definedName>
    <definedName name="zugskrheiogwe" localSheetId="6">#REF!</definedName>
    <definedName name="zugskrheiogwe" localSheetId="5">#REF!</definedName>
    <definedName name="zugskrheiogwe">#REF!</definedName>
  </definedNames>
  <calcPr fullCalcOnLoad="1"/>
</workbook>
</file>

<file path=xl/sharedStrings.xml><?xml version="1.0" encoding="utf-8"?>
<sst xmlns="http://schemas.openxmlformats.org/spreadsheetml/2006/main" count="1655" uniqueCount="791">
  <si>
    <t>a</t>
  </si>
  <si>
    <t>Ukazovateľ</t>
  </si>
  <si>
    <t>v tom:</t>
  </si>
  <si>
    <t>v tis. Eur</t>
  </si>
  <si>
    <t>Spolu</t>
  </si>
  <si>
    <t>Výdavky Sociálnej poisťovne</t>
  </si>
  <si>
    <t>Druh dávky</t>
  </si>
  <si>
    <t>Základný fond nemocenského poistenia</t>
  </si>
  <si>
    <t>nemocenské</t>
  </si>
  <si>
    <t>ošetrovné</t>
  </si>
  <si>
    <t>vyrovnávacia dávka</t>
  </si>
  <si>
    <t>materské</t>
  </si>
  <si>
    <t>zúčtovanie dávok  § 112</t>
  </si>
  <si>
    <t>Celkom výdavky ZFNP</t>
  </si>
  <si>
    <t>Základný fond starobného poistenia</t>
  </si>
  <si>
    <t>starobný dôchodok</t>
  </si>
  <si>
    <t>predčasný starobný dôchodok</t>
  </si>
  <si>
    <t>vdovský dôchodok</t>
  </si>
  <si>
    <t xml:space="preserve">vdovecký dôchodok </t>
  </si>
  <si>
    <t>sirotský dôchodok</t>
  </si>
  <si>
    <t xml:space="preserve">zúčtovanie dávok § 112, ods.9 </t>
  </si>
  <si>
    <t>Základný fond invalidného poistenia</t>
  </si>
  <si>
    <t>invalidný dôchodok</t>
  </si>
  <si>
    <t>vdovecký dôchodok</t>
  </si>
  <si>
    <t>Dôchodkové dávky celkom</t>
  </si>
  <si>
    <t>Celkom</t>
  </si>
  <si>
    <t>Základný fond úrazového poistenia</t>
  </si>
  <si>
    <t>úrazový príplatok</t>
  </si>
  <si>
    <t>úrazová renta</t>
  </si>
  <si>
    <t>jednorazové vyrovnanie</t>
  </si>
  <si>
    <t>pozostalostná úrazová renta</t>
  </si>
  <si>
    <t>jednorazové odškodnenie</t>
  </si>
  <si>
    <t>pracovná rehabilitácia a rehabilitačné</t>
  </si>
  <si>
    <t>rekvalifikácia a rekvalifikačné</t>
  </si>
  <si>
    <t>náhrada za bolesť a náhrada za sťaženie spoločenského uplatnenia</t>
  </si>
  <si>
    <t>náhrada nákladov spojených s liečením</t>
  </si>
  <si>
    <t>náhrada nákladov spojených s pohrebom</t>
  </si>
  <si>
    <t>výplata poistných plnení m.r.</t>
  </si>
  <si>
    <t>zúčtovanie  dávok § 112</t>
  </si>
  <si>
    <t>18% prevod do ZFSP za pob.úrazovej renty</t>
  </si>
  <si>
    <t>Základný fond garančného poistenia</t>
  </si>
  <si>
    <t>Výdavky na dávku garančného poistenia</t>
  </si>
  <si>
    <t>Úhrada príspevkov na SDS</t>
  </si>
  <si>
    <t xml:space="preserve">Celkom </t>
  </si>
  <si>
    <t>Základný fond poistenia v nezamestnanosti</t>
  </si>
  <si>
    <t>výdavky na dávku v nezamestnanosti</t>
  </si>
  <si>
    <t>zúčtovanie dávok § 112</t>
  </si>
  <si>
    <t>refundácia dávky v nezamestnanosti do EÚ</t>
  </si>
  <si>
    <t>VÝDAVKY CELKOM</t>
  </si>
  <si>
    <t>základný fond nemocenského poistenia</t>
  </si>
  <si>
    <t xml:space="preserve">základný fond starobného poistenia </t>
  </si>
  <si>
    <t xml:space="preserve">základný fond invalidného poistenia </t>
  </si>
  <si>
    <t xml:space="preserve">základný fond úrazového poistenia </t>
  </si>
  <si>
    <t xml:space="preserve">základný fond garančného poistenia </t>
  </si>
  <si>
    <t>základný fond  poistenia v nezamestnanosti</t>
  </si>
  <si>
    <t>správny fond</t>
  </si>
  <si>
    <t>v tom:  investičné výdavky</t>
  </si>
  <si>
    <t xml:space="preserve">           prevádzkové náklady</t>
  </si>
  <si>
    <t>Príjmy Sociálnej poisťovne vrátane príspevkov na SDS</t>
  </si>
  <si>
    <t>Riadok číslo</t>
  </si>
  <si>
    <t>Príjmy spolu s príspevkami na SDS celkom ( bez ŠFA a ŠR)</t>
  </si>
  <si>
    <t>1.</t>
  </si>
  <si>
    <t>Spolu zamestnanec a zamestnávateľ</t>
  </si>
  <si>
    <t>2.</t>
  </si>
  <si>
    <t>Povinne  poistená SZČO</t>
  </si>
  <si>
    <t>3.</t>
  </si>
  <si>
    <t>Dobrovoľne  poistená osoba</t>
  </si>
  <si>
    <t>Dlžné poistné</t>
  </si>
  <si>
    <t>Príspevky na SDS zaplatené zamestnávateľom po uplynutí 60 dní</t>
  </si>
  <si>
    <t>Štát - poistné za zákonom určené skupiny</t>
  </si>
  <si>
    <t>Sociálna poisťovňa - poistné zo ZFÚP do ZFSP za poberateľov úrazovej renty (§ 88)</t>
  </si>
  <si>
    <t>Príjmy z príspevkov na SDS (EAO)</t>
  </si>
  <si>
    <t>Príjmy z príspevkov na SDS (štát)</t>
  </si>
  <si>
    <t>rezervný fond solidarity</t>
  </si>
  <si>
    <t>Schválený rozpočet na rok 2012</t>
  </si>
  <si>
    <t>Upravený rozpočet na rok 2012</t>
  </si>
  <si>
    <t>Výdavky Sociálnej poisťovne rok 2012</t>
  </si>
  <si>
    <t>Príjmy cez pobočky spolu s SDS (r.č. 1 až 6 a 10)</t>
  </si>
  <si>
    <t xml:space="preserve">Január  </t>
  </si>
  <si>
    <t>Február</t>
  </si>
  <si>
    <t>Marec</t>
  </si>
  <si>
    <t>Apríl</t>
  </si>
  <si>
    <t>Máj</t>
  </si>
  <si>
    <t>Jún</t>
  </si>
  <si>
    <t>Júl</t>
  </si>
  <si>
    <t>August</t>
  </si>
  <si>
    <t>September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</si>
  <si>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</si>
  <si>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</si>
  <si>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</si>
  <si>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</si>
  <si>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</si>
  <si>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</si>
  <si>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</si>
  <si>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</si>
  <si>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</si>
  <si>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Október</t>
  </si>
  <si>
    <t>November</t>
  </si>
  <si>
    <t>Ú č e t</t>
  </si>
  <si>
    <t>Číslo bežného účtu</t>
  </si>
  <si>
    <t xml:space="preserve">                                       Zostatok v tis. Eur</t>
  </si>
  <si>
    <t>v  Štátnej pokladnici</t>
  </si>
  <si>
    <t>Bežný účet</t>
  </si>
  <si>
    <t xml:space="preserve">z toho   Cash pooling </t>
  </si>
  <si>
    <t>Termínovaný vklad</t>
  </si>
  <si>
    <t xml:space="preserve">nemocenského poistenia   (ZFNP) </t>
  </si>
  <si>
    <t>7000165528/8180</t>
  </si>
  <si>
    <t>dôchodkového  poistenia    (účet  DP)</t>
  </si>
  <si>
    <t>7000164541/8180</t>
  </si>
  <si>
    <t>garančného poistenia   (ZFGP)</t>
  </si>
  <si>
    <t>7000165552/8180</t>
  </si>
  <si>
    <t>poistenia v nezamestnanosti  (ZFPvN)</t>
  </si>
  <si>
    <t>7000165544/8180</t>
  </si>
  <si>
    <t>úrazového poistenia  (ZFÚP)</t>
  </si>
  <si>
    <t>7000165536/8180</t>
  </si>
  <si>
    <t>,</t>
  </si>
  <si>
    <t>Spolu účty základných fondov v ústredí</t>
  </si>
  <si>
    <t>rezervného fondu  solidarity  ( RFS)</t>
  </si>
  <si>
    <t>7000164533/8180</t>
  </si>
  <si>
    <t>Spolu disponibilné zdroje v ústredí na výplatu dávok</t>
  </si>
  <si>
    <t>Ostatné účty spolu</t>
  </si>
  <si>
    <t>v pobočkách na výplatu dávok realizovaných pobočkami</t>
  </si>
  <si>
    <t>centrálny účet ústredia</t>
  </si>
  <si>
    <t>7000164322/8180</t>
  </si>
  <si>
    <t>osob.účet zákl.fondu prísp. na star.dôch.spor SocP</t>
  </si>
  <si>
    <t>7000181034/8180</t>
  </si>
  <si>
    <t>správny fond ústredie</t>
  </si>
  <si>
    <t>7000164314/8180</t>
  </si>
  <si>
    <t>správny fond v pobočkách</t>
  </si>
  <si>
    <t>účet zdaňovanej činnosti SP</t>
  </si>
  <si>
    <t>7000164509/8180</t>
  </si>
  <si>
    <t>sociálny fond SP-ústredie</t>
  </si>
  <si>
    <t>7000164525/8180</t>
  </si>
  <si>
    <t>sociálny fond SP-pobočkách</t>
  </si>
  <si>
    <t>účet osobitných prostr.SP</t>
  </si>
  <si>
    <t>7000164517/8180</t>
  </si>
  <si>
    <t>BÚ-ESF-SP</t>
  </si>
  <si>
    <t>7000293052/8180</t>
  </si>
  <si>
    <t xml:space="preserve">S p o l u   všetky účty </t>
  </si>
  <si>
    <t>v tom :</t>
  </si>
  <si>
    <t>v tis. Eur.</t>
  </si>
  <si>
    <t>rok 2012</t>
  </si>
  <si>
    <t>z  RFS</t>
  </si>
  <si>
    <t>zo ZFNP</t>
  </si>
  <si>
    <t>zo ZFPvN</t>
  </si>
  <si>
    <t>zo ZFÚP</t>
  </si>
  <si>
    <t>zo  ZFGP</t>
  </si>
  <si>
    <t>zo  ZFIP</t>
  </si>
  <si>
    <t>do ZFSP</t>
  </si>
  <si>
    <t>1. štvrťrok</t>
  </si>
  <si>
    <t>2. štvrťrok</t>
  </si>
  <si>
    <t>3. štvrťrok</t>
  </si>
  <si>
    <t>4. štvrťrok</t>
  </si>
  <si>
    <t>s p o l u</t>
  </si>
  <si>
    <t>Poukázané  finančné  prostriedky zo ŠR</t>
  </si>
  <si>
    <t>December</t>
  </si>
  <si>
    <t xml:space="preserve">Pokuty a penále </t>
  </si>
  <si>
    <t>Ostatné príjmy (vr.  zúčtovaného penále zo správneho fondu)</t>
  </si>
  <si>
    <t>Rok 2012</t>
  </si>
  <si>
    <t>Skutočnosť  rok  2011</t>
  </si>
  <si>
    <t>Skutočnosť  rok  2012</t>
  </si>
  <si>
    <t>Rozdiel stĺ. 4-1</t>
  </si>
  <si>
    <t>Rozdiel stĺ. 4-2</t>
  </si>
  <si>
    <t>% plnenia stĺ. 4/1</t>
  </si>
  <si>
    <t>% plnenia stĺ. 4/2</t>
  </si>
  <si>
    <t>Index stĺ. 4/3</t>
  </si>
  <si>
    <t>Rok  2012</t>
  </si>
  <si>
    <t>Prehľad o zostatkoch finančných prostriedkov na bežných účtoch  v Štátnej pokladnici  dňa 31.12.2012</t>
  </si>
  <si>
    <t>Presuny realizované na krytie výplat  dôchodkových dávok v roku 2012 vo výške 1 066 tis. Eur.</t>
  </si>
  <si>
    <t>Presuny realizované na krytie výplat  nemocenských dávok v roku 2012 vo výške 20 tis. Eur.</t>
  </si>
  <si>
    <t xml:space="preserve">zo ZFPvN </t>
  </si>
  <si>
    <t>do ZFNP</t>
  </si>
  <si>
    <t>Prehľad o príjmoch a výdavkoch Sociálnej poisťovne na dávky, ktoré hradí štát v roku 2012</t>
  </si>
  <si>
    <t>Kapitola štátneho rozpočtu MPSVR SR</t>
  </si>
  <si>
    <t>Skutočnosť za január až december 2012</t>
  </si>
  <si>
    <t>% plnenia 3/1</t>
  </si>
  <si>
    <t>% plnenia 3/2</t>
  </si>
  <si>
    <t>1</t>
  </si>
  <si>
    <t>2</t>
  </si>
  <si>
    <t>PRÍJMY</t>
  </si>
  <si>
    <t>VÝDAVKY</t>
  </si>
  <si>
    <t xml:space="preserve"> </t>
  </si>
  <si>
    <t>a/ dôchodok manželky</t>
  </si>
  <si>
    <t>b/ sociálny dôchodok</t>
  </si>
  <si>
    <t>c/ zvýšenie dôchodku z dôvodu JZP</t>
  </si>
  <si>
    <t>d/ zvýšenie dôchodku pre bezvládnosť</t>
  </si>
  <si>
    <t>e/ zvýšenie dôchodku z dôvodu účasti v odboji a rehabilitácie */</t>
  </si>
  <si>
    <t>f/ dávky podľa § 271</t>
  </si>
  <si>
    <t>g/ odškodnenie prac. úrazov a chorôb z povolania zamestnancov zrušených zamestnávateľov, ktorých  zakladateľom bol štát alebo FNM SR</t>
  </si>
  <si>
    <t>h/ plnenia vyplývajúce zo zodpovednoti zamestnávateľa za škodu pri pracovnom úraze a chorobe z povolania vzniknuté pred 1. aprílom 2002 u zamestnávateľa, ktorý mal podľa osobitného predpisu postavenie štátneho orgánu</t>
  </si>
  <si>
    <t>i/ úrazové dávky poskytované fyzickým osobám uvedeným v § 17 ods. 2 a 3 zákona o sociálnom poistení</t>
  </si>
  <si>
    <t>j/ príplatok k dôchodku za štátnu službu</t>
  </si>
  <si>
    <t>k/ plnenia podľa § 293o) ods. 6</t>
  </si>
  <si>
    <t>.</t>
  </si>
  <si>
    <t>l/ vianočný príspevok a úhrada nákladov spojená s jeho výplatou</t>
  </si>
  <si>
    <t>m/ príplatok k dôchodku politickým väzňom podľa zákona č. 274/2007 Z.z.v znení neskorších predpisov **/</t>
  </si>
  <si>
    <t>jednorazový finančný príspevok politickým väzňom podľa zákona č. 462/2002 Z. z.</t>
  </si>
  <si>
    <t>invalidi z mladosti podľa §168a</t>
  </si>
  <si>
    <t>ROZDIEL PRÍJMOV A VÝDAVKOV</t>
  </si>
  <si>
    <t xml:space="preserve">*/ v dávke zvýšenie dôchodku z titulu rehabilitácie sú zahrnuté aj finančné prostriedky, poskytované ako príplatok k dôchodku podľa § 7 zákona č. 305/1999 Z.z. </t>
  </si>
  <si>
    <t>Kapitola štátneho rozpočtu MO SR</t>
  </si>
  <si>
    <t>n/ príspevok účastníkom národného boja za oslobodenie a vdovám a vdovcom po týchto osobách podľa článku III. bod 2 zákona č. 285/2009 Z. z. a na úhradu výdavkov spojených s jeho výplatou</t>
  </si>
  <si>
    <t>Finančné prostriedky poukázané MO SR</t>
  </si>
  <si>
    <t>Rozdiel - príjmov a výdavkov (pohľadávka voči MO SR)</t>
  </si>
  <si>
    <t>Príjmy z otvorenia II. piliera  (znížené o 1,9 % tvorbu SF)</t>
  </si>
  <si>
    <t>Príjmy z otvorenia II. piliera  ( 1,9 % tvorba SF)</t>
  </si>
  <si>
    <t>Príjmy z poistného a príspevkov na SDS (r.č. 1, 2, 3, 7, 8, 9, 11, 12,13)</t>
  </si>
  <si>
    <t>z toho vianočný príspevok                                                                               príjmy</t>
  </si>
  <si>
    <t xml:space="preserve">výdavky </t>
  </si>
  <si>
    <t>rozdiel príjmov a výdavkov</t>
  </si>
  <si>
    <t>z toho ostatné dávky, ktoré hradí štát                                                              príjmy</t>
  </si>
  <si>
    <t>**/  v dávke príplatok k dôchodku politickým väzňom podľa zákona č. 274/2007 Z.z.v znení neskorších predpisov  je zahrnutý príspevok aj pre osoby pozostalé po popravenom alebo zomretom</t>
  </si>
  <si>
    <t>politickom väzňovi počas výkonu trestu podľa zákona č. 272/2008 Z.z., ktorým sa mení a dopĺňa zákon č. 274/2007 Z.z.</t>
  </si>
  <si>
    <t>Súhrnná bilancia - bez príspevkov na SDS (s vplyvom II. piliera)</t>
  </si>
  <si>
    <t>Skutočnosť za rok 2011</t>
  </si>
  <si>
    <t>Schválený rozpočet na rok 2012 */</t>
  </si>
  <si>
    <t>Upravený rozpočet na rok 2012 **/</t>
  </si>
  <si>
    <t>Skutočnosť k 31. 12. 2012</t>
  </si>
  <si>
    <t>% plnenia stĺ. 4/3</t>
  </si>
  <si>
    <t>Rozdiel stĺ. 4-3</t>
  </si>
  <si>
    <t>Základné údaje</t>
  </si>
  <si>
    <t>Príjmy v bežnom roku</t>
  </si>
  <si>
    <t>z toho prostriedky zo  Štátneho rozpočtu SR</t>
  </si>
  <si>
    <t>Použitie prostriedkov jednotlivých fondov</t>
  </si>
  <si>
    <t>Bilančný rozdiel v bežnom roku</t>
  </si>
  <si>
    <t xml:space="preserve">Prevod z minulých rokov </t>
  </si>
  <si>
    <t>Bilančný rozdiel celkom</t>
  </si>
  <si>
    <t>Zdroje</t>
  </si>
  <si>
    <t>Príjmy</t>
  </si>
  <si>
    <t>Poistné, v tom:</t>
  </si>
  <si>
    <t xml:space="preserve">nemocenské </t>
  </si>
  <si>
    <t xml:space="preserve">starobné </t>
  </si>
  <si>
    <t xml:space="preserve">invalidné </t>
  </si>
  <si>
    <t>úrazové</t>
  </si>
  <si>
    <t>garančné</t>
  </si>
  <si>
    <t>v nezamestnanosti</t>
  </si>
  <si>
    <t>Sankcie</t>
  </si>
  <si>
    <t>Ostatné príjmy</t>
  </si>
  <si>
    <t>Príjmy z garančného poistenia po uplynutí 60 dní</t>
  </si>
  <si>
    <t>Transfery</t>
  </si>
  <si>
    <t>Výdavky</t>
  </si>
  <si>
    <t>Základné fondy, v tom:</t>
  </si>
  <si>
    <t>Správny fond</t>
  </si>
  <si>
    <t>Tvorba</t>
  </si>
  <si>
    <t>Použitie</t>
  </si>
  <si>
    <t>*/ Údaje  sú schválené uznesením NR SR  č. 755 z 8. decembra  2011</t>
  </si>
  <si>
    <t>Vývoj pohľadávok Sociálnej poisťovne podľa druhov a podľa fondov mesačne v roku 2012</t>
  </si>
  <si>
    <t>Stav ku dňu</t>
  </si>
  <si>
    <t>Pohľadávky na poistnom a príspevkoch na SDS celkom                          ( účet 316 )</t>
  </si>
  <si>
    <t xml:space="preserve">Druhy pohľadávok v tis. EUR </t>
  </si>
  <si>
    <t>z toho</t>
  </si>
  <si>
    <t>Druhy pohľadávok na základe rozhodnutia</t>
  </si>
  <si>
    <t>pohľadávky na základe výkazu, prihlášky (účty 31611 a 316911)</t>
  </si>
  <si>
    <t>pohľadávky na základe rozhodnutia</t>
  </si>
  <si>
    <t>poistné</t>
  </si>
  <si>
    <t>penále</t>
  </si>
  <si>
    <t>Ostatné *</t>
  </si>
  <si>
    <t>31. decembru 2011</t>
  </si>
  <si>
    <t>31. januáru 2012</t>
  </si>
  <si>
    <t>29. februáru 2012</t>
  </si>
  <si>
    <t>31. marcu 2012</t>
  </si>
  <si>
    <t>30. aprílu 2012</t>
  </si>
  <si>
    <t>31. máju 2012</t>
  </si>
  <si>
    <t>30. júnu 2012</t>
  </si>
  <si>
    <t>31. júlu 2012</t>
  </si>
  <si>
    <t>31. augustu 2012</t>
  </si>
  <si>
    <t>30. septembru 2012</t>
  </si>
  <si>
    <t>31. októbru 2012</t>
  </si>
  <si>
    <t>30. novembru 2012</t>
  </si>
  <si>
    <t>31. decembru 2012</t>
  </si>
  <si>
    <t>*ostatné (pokuty,poplatky,regresy,preplatky na dávkach...)</t>
  </si>
  <si>
    <t>Vývoj pohľadávok SP podľa fondov (v tis.EUR)</t>
  </si>
  <si>
    <t xml:space="preserve">Pohľadávky SP podľa fondov stav </t>
  </si>
  <si>
    <t>Základné fondy spolu</t>
  </si>
  <si>
    <t xml:space="preserve">ZF nemoc. poistenia </t>
  </si>
  <si>
    <t xml:space="preserve">ZF starob. poistenia </t>
  </si>
  <si>
    <t xml:space="preserve">ZF invalid. poistenia </t>
  </si>
  <si>
    <t>ZF úrazového poist.</t>
  </si>
  <si>
    <t>ZF garanč. poistenia</t>
  </si>
  <si>
    <t>ZF poist.v nezamest.</t>
  </si>
  <si>
    <t xml:space="preserve">Rezerv.fond solidarity </t>
  </si>
  <si>
    <t xml:space="preserve">Zúčtov.poist. r. 1993 </t>
  </si>
  <si>
    <t xml:space="preserve">Zúčtov.poist. r. 1994 </t>
  </si>
  <si>
    <t>k 31. decembru 2011</t>
  </si>
  <si>
    <t>k 31.januáru 2012</t>
  </si>
  <si>
    <t>k 29. februáru 2012</t>
  </si>
  <si>
    <t>k 31. marcu 2012</t>
  </si>
  <si>
    <t>k 30. aprílu 2012</t>
  </si>
  <si>
    <t>k 31. máju 2012</t>
  </si>
  <si>
    <t>k 30. júnu 2012</t>
  </si>
  <si>
    <t>k 31. júlu 2012</t>
  </si>
  <si>
    <t>k 31. augustu 2012</t>
  </si>
  <si>
    <t>k 30. septembru 2012</t>
  </si>
  <si>
    <t>k 31. októbru 2012</t>
  </si>
  <si>
    <t>k 30. novembru 2012</t>
  </si>
  <si>
    <t>k 31. decembru 2012</t>
  </si>
  <si>
    <t>Pobočka</t>
  </si>
  <si>
    <t>Pohľadávky celkom ( účet 316 ) v tis. Eur</t>
  </si>
  <si>
    <t>stav k 31_12_2011</t>
  </si>
  <si>
    <t>stav k 31_12_2012</t>
  </si>
  <si>
    <t>nárast (+); pokles (-)</t>
  </si>
  <si>
    <t>zníženie (-), nárast (+) pohľadávok oproti stavu k 31_12_2011 o...%</t>
  </si>
  <si>
    <t>Dolný Kubín</t>
  </si>
  <si>
    <t>Prievidza</t>
  </si>
  <si>
    <t>Bratislava</t>
  </si>
  <si>
    <t>Banská Bystrica</t>
  </si>
  <si>
    <t>Považská Bystrica</t>
  </si>
  <si>
    <t>Stará Ľubovňa</t>
  </si>
  <si>
    <t>Žilina</t>
  </si>
  <si>
    <t>Trnava</t>
  </si>
  <si>
    <t>Čadca</t>
  </si>
  <si>
    <t>Vranov nad Topľou</t>
  </si>
  <si>
    <t>Prešov</t>
  </si>
  <si>
    <t>Senica</t>
  </si>
  <si>
    <t>Rožňava</t>
  </si>
  <si>
    <t>Poprad</t>
  </si>
  <si>
    <t>Topoľčany</t>
  </si>
  <si>
    <t>Liptovský Mikuláš</t>
  </si>
  <si>
    <t>Trebišov</t>
  </si>
  <si>
    <t>Dunajská Streda</t>
  </si>
  <si>
    <t>Nitra</t>
  </si>
  <si>
    <t>Veľký Krtíš</t>
  </si>
  <si>
    <t>Žiar nad Hronom</t>
  </si>
  <si>
    <t>Galanta</t>
  </si>
  <si>
    <t>Spišská Nová Ves</t>
  </si>
  <si>
    <t>Nové Zámky</t>
  </si>
  <si>
    <t>Rimavská Sobota</t>
  </si>
  <si>
    <t>Trenčín</t>
  </si>
  <si>
    <t>Komárno</t>
  </si>
  <si>
    <t>Levice</t>
  </si>
  <si>
    <t>Bardejov</t>
  </si>
  <si>
    <t>Zvolen</t>
  </si>
  <si>
    <t>Košice</t>
  </si>
  <si>
    <t>Svidník</t>
  </si>
  <si>
    <t>Michalovce</t>
  </si>
  <si>
    <t>Lučenec</t>
  </si>
  <si>
    <t>Martin</t>
  </si>
  <si>
    <t>Humenné</t>
  </si>
  <si>
    <t>SP pobočky</t>
  </si>
  <si>
    <t xml:space="preserve">Ústredie </t>
  </si>
  <si>
    <t>SP spolu</t>
  </si>
  <si>
    <t>Prehľad pohľadávok Sociálnej poisťovne podľa spôsobov vymáhania (v tis.Eur)</t>
  </si>
  <si>
    <t>pohľadávky spolu k 31.12.2012</t>
  </si>
  <si>
    <t>Podiel</t>
  </si>
  <si>
    <t>Konkurzy</t>
  </si>
  <si>
    <t>Vyrovnanie reštrukturalizácia</t>
  </si>
  <si>
    <t>Likvidácia</t>
  </si>
  <si>
    <t xml:space="preserve">Dedičské konanie  </t>
  </si>
  <si>
    <t>Exekúcie</t>
  </si>
  <si>
    <t>Povolené splátky  dlžných súm</t>
  </si>
  <si>
    <t xml:space="preserve">Mandátna správa  </t>
  </si>
  <si>
    <t>Iné spôsoby vymáhania</t>
  </si>
  <si>
    <t>Okrem vymáhaných pohľadávok eviduje Sociálna poisťovňa</t>
  </si>
  <si>
    <t>V celkových pohľadávkach:</t>
  </si>
  <si>
    <t xml:space="preserve">pohľadávky na poistnom na základe výkazu, prihlášky evidované v účtovníctve (aj pred lehotou splatnosti) </t>
  </si>
  <si>
    <t xml:space="preserve">Opravné položky k pohľadávkam Sociálnej poisťovne k 31.12.2012 </t>
  </si>
  <si>
    <t>stav k 1.1.2012</t>
  </si>
  <si>
    <t>stav k 31.12.2012</t>
  </si>
  <si>
    <t>rozdiel 12_12 a 1_12</t>
  </si>
  <si>
    <t xml:space="preserve">Košice </t>
  </si>
  <si>
    <t>Liptovský  Mikuláš</t>
  </si>
  <si>
    <t>Vranov n.T.</t>
  </si>
  <si>
    <t>stav k</t>
  </si>
  <si>
    <t>počet rozhodnutí</t>
  </si>
  <si>
    <t>výška vymáhanej pohľadávky v exekučnom konaní v tis. Eur</t>
  </si>
  <si>
    <t>úhrady v tis. Eur</t>
  </si>
  <si>
    <t xml:space="preserve">Vydané rozhodnutia o povolení splátok dlžných súm v roku 2012 </t>
  </si>
  <si>
    <t>počet povolených splátkových kalendárov</t>
  </si>
  <si>
    <t>suma  na ktorú boli vydané rozhodnutia o povolení splátok dlžných súm                                     (tis. Eur)</t>
  </si>
  <si>
    <t>Celková vymožená suma    (tis. Eur)</t>
  </si>
  <si>
    <t xml:space="preserve">Prehľad pohľadávok vymáhaných prostredníctvom mandátnej správy spoločnosťou General Factoring a. s. </t>
  </si>
  <si>
    <t>sumárny prehľad prevedených pohľadávok do mandátnej správy a  akceptovaných úhrad od 01. 01. 2012 do 31. 12. 2012</t>
  </si>
  <si>
    <t>spolu prevedené     (suma tis. EUR)</t>
  </si>
  <si>
    <t>spolu akceptované  (suma tis. EUR)</t>
  </si>
  <si>
    <t>sumárny prehľad rok 2012</t>
  </si>
  <si>
    <t>prevedené pohľadávky do MS v roku 2012 a akceptované úhrady ku konkrétnym sumárnym zoznamom v roku 2012</t>
  </si>
  <si>
    <t>sumárny zoznam č.</t>
  </si>
  <si>
    <t>spolu</t>
  </si>
  <si>
    <t>012012</t>
  </si>
  <si>
    <t>022012</t>
  </si>
  <si>
    <t>032012</t>
  </si>
  <si>
    <t>042012</t>
  </si>
  <si>
    <t>052012</t>
  </si>
  <si>
    <t>062012</t>
  </si>
  <si>
    <t>prevedené</t>
  </si>
  <si>
    <t>počet</t>
  </si>
  <si>
    <t>suma tis. EUR</t>
  </si>
  <si>
    <t>akceptované</t>
  </si>
  <si>
    <t>prehľad rok 2012 po sumárnych zoznamoch</t>
  </si>
  <si>
    <t>Stav pohľadávok  podľa pobočiek Sociálnej poisťovne a zdravotníckych zariadení k 31. decembru 2012 (v tis. EUR)</t>
  </si>
  <si>
    <t>Typ zdravotníckeho zariadenia</t>
  </si>
  <si>
    <t>Forma zdravotníckeho zariadenia (S/V)</t>
  </si>
  <si>
    <t>Názov zdravotníckeho zariadenia, sídlo</t>
  </si>
  <si>
    <t>IČO</t>
  </si>
  <si>
    <t>Pohľadávka na                     poistnom                                k 30. novembru 2012</t>
  </si>
  <si>
    <t>Pohľadávka na                     poistnom                                k 31. decembru 2012</t>
  </si>
  <si>
    <t>Rozdiel pohľadávky na                              poistnom                         12_ 2012 - 11_2012</t>
  </si>
  <si>
    <t>S</t>
  </si>
  <si>
    <t>Fakultná nemocnica s poliklinikou F. D. Roosevelta Banská Bystrica</t>
  </si>
  <si>
    <t>00165549</t>
  </si>
  <si>
    <t>Detská fakultná nemocnica s poliklinikou Bratislava</t>
  </si>
  <si>
    <t>00607231</t>
  </si>
  <si>
    <t>Univerzitná nemocnica Bratislava</t>
  </si>
  <si>
    <t>Fakultná nemocnica Trnava</t>
  </si>
  <si>
    <t>00610381</t>
  </si>
  <si>
    <t>Východoslovenský ústav srdcových a cievnych chorôb, a.s., Košice</t>
  </si>
  <si>
    <t>36601284</t>
  </si>
  <si>
    <t>Národná transfúzna služba SR, Bratislava</t>
  </si>
  <si>
    <t>Detská ozdravovňa, Kremnické Bane</t>
  </si>
  <si>
    <t>V</t>
  </si>
  <si>
    <t>Kysucká nemocnica s poliklinikou Čadca</t>
  </si>
  <si>
    <t>Dolnooravská nemocnica s poliklinikou MUDr. L. N. Jégého Dolný Kubín</t>
  </si>
  <si>
    <t>00634905</t>
  </si>
  <si>
    <t>Nemocnica s poliklinikou Dunajská Streda</t>
  </si>
  <si>
    <t>Nemocnica s poliklinikou Dunajská Streda, a.s.</t>
  </si>
  <si>
    <t>Nemocnica s poliklinikou Sv. Lukáša Galanta</t>
  </si>
  <si>
    <t>00610291</t>
  </si>
  <si>
    <t>Liptovská nemocnica s poliklinikou MUDr. Ivana Stodolu Liptovský Mikuláš</t>
  </si>
  <si>
    <t>Nemocnica s poliklinikou v Považskej Bystrici</t>
  </si>
  <si>
    <t>00610411</t>
  </si>
  <si>
    <t>Nemocnica s poliklinikou Prievidza so sídlom v Bojniciach</t>
  </si>
  <si>
    <t>Nemocnica s poliklinikou Myjava</t>
  </si>
  <si>
    <t>00610721</t>
  </si>
  <si>
    <t>Nemocnica s poliklinikou Skalica</t>
  </si>
  <si>
    <t>00610712</t>
  </si>
  <si>
    <t>Nemocnica s poliklinikou Trebišov a.s.</t>
  </si>
  <si>
    <t>Mestská nemocnica Prof. MUDr. Rudolfa Korca, DrSc. Zlaté Moravce</t>
  </si>
  <si>
    <t>Sanatórium Tatranská Kotlina n.o.</t>
  </si>
  <si>
    <t>Nemocnica s poliklinikou Ilava, n.o.</t>
  </si>
  <si>
    <t>36119385</t>
  </si>
  <si>
    <t>Všeobecná nemocnica s poliklinikou, n.o., Veľký Krtíš</t>
  </si>
  <si>
    <t>Nemocnica s poliklinikou, n.o. Revúca (prevzaté od Revúckej medicínsko-humanitnej, n.o., Revúca, IČO: 37954032)</t>
  </si>
  <si>
    <t>Legenda:</t>
  </si>
  <si>
    <t>ZZ zostávajúce v pôsobnosti MZ SR - Fakultné nemocnice</t>
  </si>
  <si>
    <t>ZZ zostávajúce v pôsobnosti MZ SR - Vysokošpecializované odborné ústavy</t>
  </si>
  <si>
    <t>ZZ zostávajúce v pôsobnosti MZ SR - Nemocnice s poliklinikou III. typu</t>
  </si>
  <si>
    <t>ZZ zostávajúce v pôsobnosti MZ SR - Psychiatrické nemocnice</t>
  </si>
  <si>
    <t>ZZ zostávajúce v pôsobnosti MZ SR - Psychiatrické liečebne</t>
  </si>
  <si>
    <t>ZZ zostávajúce v pôsobnosti MZ SR - Odborné liečebne ústavy</t>
  </si>
  <si>
    <t>ZZ zostávajúce v pôsobnosti MZ SR - Iné zariadenia</t>
  </si>
  <si>
    <t>ZZ prechádzajúce na VÚC - Nemocnice s poliklinikou II. typu</t>
  </si>
  <si>
    <t>ZZ prechádzajúce na VÚC - Polikliniky prechádzajúce na VÚC</t>
  </si>
  <si>
    <t>ZZ prechádzajúce na obce a mestá</t>
  </si>
  <si>
    <t>ZZ transformované na neziskové organizácie</t>
  </si>
  <si>
    <t xml:space="preserve">Novovzniknutá nezisková organizácia </t>
  </si>
  <si>
    <t>Rozpočtová organizácia vytvorená VÚC za účelom prevzatia pohľadávok ZZ</t>
  </si>
  <si>
    <t>ZZ v pôsobnosti MZ SR</t>
  </si>
  <si>
    <t xml:space="preserve">ZZ prechádzajúce na VÚC, obce a mestá, neziskové organizácie </t>
  </si>
  <si>
    <t xml:space="preserve">Stav pohľadávok (v tis. EUR) podľa pobočiek Sociálnej poisťovne a zdravotníckych zariadení k 31. decembru 2012 </t>
  </si>
  <si>
    <t>Typ ZZ</t>
  </si>
  <si>
    <t>Forma ZZ (S/V)</t>
  </si>
  <si>
    <t>Platenie bežného poistného</t>
  </si>
  <si>
    <t>Pohľadávka na poistnom k 31.12.2012</t>
  </si>
  <si>
    <t>Spôsob zabezpečenia pohľadávky</t>
  </si>
  <si>
    <t>Dátum zriadenia záložného práva</t>
  </si>
  <si>
    <t>Suma na ktorú bolo záložné právo zriadené</t>
  </si>
  <si>
    <t>vyhodnotenie generálneho pardonu 2008</t>
  </si>
  <si>
    <t>zaplatené poistné v súvislosti s oddlžením</t>
  </si>
  <si>
    <t>novopredpí- sané penále</t>
  </si>
  <si>
    <t>celkom odpustené penále v rámci GP</t>
  </si>
  <si>
    <t>dátum posúdenia splnenia podmienky pre GP</t>
  </si>
  <si>
    <t>zaplatené dlžné poistné v súvislosti GP</t>
  </si>
  <si>
    <t>C</t>
  </si>
  <si>
    <t>Nemocnica s poliklinikou Sv. Jakuba, n.o., Bardejov</t>
  </si>
  <si>
    <t>A</t>
  </si>
  <si>
    <t>Psychiatrická nemocnica P. Pinela, Pezinok</t>
  </si>
  <si>
    <t>Hornooravská nemocnica s poliklinikou Trstená</t>
  </si>
  <si>
    <t>00634891</t>
  </si>
  <si>
    <t>Oravská poliklinika Námestovo</t>
  </si>
  <si>
    <t>00634875</t>
  </si>
  <si>
    <t>ex. zál. právo</t>
  </si>
  <si>
    <t>N</t>
  </si>
  <si>
    <t>Nemocnica s poliklinikou Sv. Lukáša Galanta, a.s.</t>
  </si>
  <si>
    <t>Nemocnica s poliklinikou A. Leňa Humenné</t>
  </si>
  <si>
    <t>00610658</t>
  </si>
  <si>
    <t>X</t>
  </si>
  <si>
    <t>Mestská poliklinika Hurbanovo</t>
  </si>
  <si>
    <t>17335647</t>
  </si>
  <si>
    <t>Univerzitná nemocnica L. Pasteura, Košice</t>
  </si>
  <si>
    <t>00606707</t>
  </si>
  <si>
    <t>Záchranná služba Košice</t>
  </si>
  <si>
    <t>00606731</t>
  </si>
  <si>
    <t>Nemocnica s poliklinikou Želiezovce</t>
  </si>
  <si>
    <t>00610283</t>
  </si>
  <si>
    <t>Mesto Šahy (prevzaté od NsP Šahy, IČO: 00610275)</t>
  </si>
  <si>
    <t>00307513</t>
  </si>
  <si>
    <t>Psychiatrická nemocnica Hronovce</t>
  </si>
  <si>
    <t>00607266</t>
  </si>
  <si>
    <t>Univerzitná nemocnica Martin</t>
  </si>
  <si>
    <t>00365327</t>
  </si>
  <si>
    <t>Nemocnica s poliklinikou Štefana Kukuru v Michalovciach, n.o.</t>
  </si>
  <si>
    <t>Psychiatrická nemocnica Michalovce, n.o.</t>
  </si>
  <si>
    <t>Fakultná nemocnica Nitra</t>
  </si>
  <si>
    <t>Mestská poliklinika Šurany</t>
  </si>
  <si>
    <t>Poliklinika Štúrovo</t>
  </si>
  <si>
    <t>zmluvné záložné právo</t>
  </si>
  <si>
    <t>Fakultná nemocnica s poliklinikou J. A. Reimana Prešov</t>
  </si>
  <si>
    <t>00610577</t>
  </si>
  <si>
    <t>Nemocnica s poliklinikou Rimavská Sobota</t>
  </si>
  <si>
    <t>00610615</t>
  </si>
  <si>
    <t>Nemocnica s poliklinikou Hnúšťa</t>
  </si>
  <si>
    <t>00610631</t>
  </si>
  <si>
    <t xml:space="preserve">Nemocnica s poliklinikou sv. Barbory Rožňava, a. s.                                                                                                                                                                                         </t>
  </si>
  <si>
    <t>Psychiatrická liečebňa Samuela Bluma Plešivec</t>
  </si>
  <si>
    <t>Poliklinika Tornaľa</t>
  </si>
  <si>
    <t>00610640</t>
  </si>
  <si>
    <t xml:space="preserve">Odborný liečebný ústav psychiatrický, n.o. Predná Hora </t>
  </si>
  <si>
    <t>37954920</t>
  </si>
  <si>
    <t>Nemocnica s poliklinikou, Spišská Nová Ves</t>
  </si>
  <si>
    <t>00610534</t>
  </si>
  <si>
    <t>Ľubovnianska nemocnica, n.o., Stará Ľubovňa</t>
  </si>
  <si>
    <t>Nemocnica s poliklinikou Trebišov</t>
  </si>
  <si>
    <t>Fakultná nemocnica Trenčín</t>
  </si>
  <si>
    <t>00610470</t>
  </si>
  <si>
    <t>Nemocnica A. Wintera n.o. Piešťany</t>
  </si>
  <si>
    <t>Vranovská nemocnica, n.o., Vranov nad Topľou</t>
  </si>
  <si>
    <t>Regionálna nemocnica Banská Štiavnica, n.o.</t>
  </si>
  <si>
    <t>Psychiatrická nemocnica prof. Matulaya, Kremnica</t>
  </si>
  <si>
    <t>00606987</t>
  </si>
  <si>
    <t>Názov, sídlo</t>
  </si>
  <si>
    <t>Pohľadávka na poistnom k 30.11.2012</t>
  </si>
  <si>
    <t>Správa záväzkov a pohľadávok, Nitra (prevzaté od Nemocnice s poliklinikou Levice, IČO: 00610267)</t>
  </si>
  <si>
    <t>Správa záväzkov a pohľadávok, Košice (prevzaté od Nemocnice s poliklinikou Š.Kukuru Michalovce, IČO:17335663)</t>
  </si>
  <si>
    <t>Správa záväzkov a pohľadávok, Košice (prevzaté od Nemocnicu s poliklinikou svätej Barbory, Rožňava, IČO: 17335922)</t>
  </si>
  <si>
    <t>- platí</t>
  </si>
  <si>
    <t>- čiastočne (za zamestnancov)</t>
  </si>
  <si>
    <t>- neplatí</t>
  </si>
  <si>
    <t>- ukončená registrácia</t>
  </si>
  <si>
    <t>Mesačný vývoj použitia správneho fondu celkom za rok 2011 a 2012</t>
  </si>
  <si>
    <t>v Eur</t>
  </si>
  <si>
    <t>Eur</t>
  </si>
  <si>
    <t>Ukazovatele</t>
  </si>
  <si>
    <t>R O K      2   0  1  1</t>
  </si>
  <si>
    <t>Rozpočet</t>
  </si>
  <si>
    <t xml:space="preserve"> S K U T O Č N O S Ť</t>
  </si>
  <si>
    <t>Január</t>
  </si>
  <si>
    <t xml:space="preserve"> Správny fond celkom</t>
  </si>
  <si>
    <t>neúplné</t>
  </si>
  <si>
    <t>R O K      2   0  1  2</t>
  </si>
  <si>
    <t>Vyhodnotenie plnenia rozpisu rozpočtu Správneho fondu Sociálnej poisťovne za rok 2012</t>
  </si>
  <si>
    <t>Org. útvary SP</t>
  </si>
  <si>
    <t>Spotr. nákupy</t>
  </si>
  <si>
    <t>Služby</t>
  </si>
  <si>
    <t>Osobné náklady</t>
  </si>
  <si>
    <t>Dane a poplatky</t>
  </si>
  <si>
    <t>Ostat. náklady</t>
  </si>
  <si>
    <t xml:space="preserve"> Bežné výdavky</t>
  </si>
  <si>
    <t>Kapit. výdavky</t>
  </si>
  <si>
    <t>SF SPOLU</t>
  </si>
  <si>
    <t xml:space="preserve">  Ústredie SP (132)</t>
  </si>
  <si>
    <t xml:space="preserve">  Rozpis rozpočtu 2012</t>
  </si>
  <si>
    <t xml:space="preserve">  Skutočnosť</t>
  </si>
  <si>
    <t xml:space="preserve">  % Plnenia z RR 2012</t>
  </si>
  <si>
    <t xml:space="preserve">  Pol. objekt Nevädzová (134)</t>
  </si>
  <si>
    <t xml:space="preserve">  DaRZ Staré Hory(136)</t>
  </si>
  <si>
    <t xml:space="preserve">  DaRZ Pav. Lehota(137)</t>
  </si>
  <si>
    <t xml:space="preserve">  Dozorná rada (133)</t>
  </si>
  <si>
    <t xml:space="preserve">  ÚSTREDIE SPOLU</t>
  </si>
  <si>
    <t xml:space="preserve">  POBOČKY SP (132)</t>
  </si>
  <si>
    <t xml:space="preserve"> SPRÁVNY FOND SPOLU</t>
  </si>
  <si>
    <t>Vyhodnotenie plnenia rozpisu rozpočtu bežných výdavkov (nákladov) správneho fondu Sociálnej poisťovne za rok 2012</t>
  </si>
  <si>
    <t>v štruktúre funkčnej a ekonomickej klasifikácie</t>
  </si>
  <si>
    <t xml:space="preserve">Funkčná </t>
  </si>
  <si>
    <t>Ekonomická klasifikácia</t>
  </si>
  <si>
    <t>Text</t>
  </si>
  <si>
    <t>Rozpis</t>
  </si>
  <si>
    <t>Skutočnosť</t>
  </si>
  <si>
    <t>%</t>
  </si>
  <si>
    <t>klasifikácia</t>
  </si>
  <si>
    <t xml:space="preserve">Hlavná </t>
  </si>
  <si>
    <t>Kategória</t>
  </si>
  <si>
    <t>Položka</t>
  </si>
  <si>
    <t>Podpo-</t>
  </si>
  <si>
    <t>rozpočtu</t>
  </si>
  <si>
    <t>za mesiac</t>
  </si>
  <si>
    <t>za rok 2012</t>
  </si>
  <si>
    <t>plnenia</t>
  </si>
  <si>
    <t>oddiel/skupina/</t>
  </si>
  <si>
    <t>kategória</t>
  </si>
  <si>
    <t>ložka</t>
  </si>
  <si>
    <t>na rok 2012</t>
  </si>
  <si>
    <t xml:space="preserve"> december 2012</t>
  </si>
  <si>
    <t>(3 : 1)</t>
  </si>
  <si>
    <t>trieda/podtrieda</t>
  </si>
  <si>
    <t>b</t>
  </si>
  <si>
    <t>c</t>
  </si>
  <si>
    <t>d</t>
  </si>
  <si>
    <t>e</t>
  </si>
  <si>
    <t>f</t>
  </si>
  <si>
    <t>10.9.0.3</t>
  </si>
  <si>
    <t>600</t>
  </si>
  <si>
    <t>610</t>
  </si>
  <si>
    <t xml:space="preserve"> Mzdy, platy, služobné príjmy a ostatné osobné vyrovnania</t>
  </si>
  <si>
    <t>611</t>
  </si>
  <si>
    <t xml:space="preserve"> Tarifný plat, osobný plat, základný plat vrátane ich náhrad</t>
  </si>
  <si>
    <t>612</t>
  </si>
  <si>
    <t xml:space="preserve"> Príplatky</t>
  </si>
  <si>
    <t>612002</t>
  </si>
  <si>
    <t xml:space="preserve"> Ostatné príplatky okrem osobných príplatkov</t>
  </si>
  <si>
    <t>613</t>
  </si>
  <si>
    <t xml:space="preserve"> Náhrada za pracovnú pohotovosť</t>
  </si>
  <si>
    <t>614</t>
  </si>
  <si>
    <t xml:space="preserve"> Odmeny</t>
  </si>
  <si>
    <t>615</t>
  </si>
  <si>
    <t xml:space="preserve"> Ostatné osobné vyrovnania</t>
  </si>
  <si>
    <t>616</t>
  </si>
  <si>
    <t xml:space="preserve"> Doplatok k platu a ďalší plat</t>
  </si>
  <si>
    <t>620</t>
  </si>
  <si>
    <t xml:space="preserve"> Poistné a príspevok do poisťovní </t>
  </si>
  <si>
    <t>621</t>
  </si>
  <si>
    <t xml:space="preserve"> Poistné do Všeobecnej zdravotnej poisťovne</t>
  </si>
  <si>
    <t>623</t>
  </si>
  <si>
    <t xml:space="preserve"> Poistné do ostatných zdravotných poisťovní</t>
  </si>
  <si>
    <t>625</t>
  </si>
  <si>
    <t xml:space="preserve"> Poistné do Sociálnej poisťovne</t>
  </si>
  <si>
    <t>625001</t>
  </si>
  <si>
    <t xml:space="preserve"> Na nemocenské poistenie</t>
  </si>
  <si>
    <t>625002</t>
  </si>
  <si>
    <t xml:space="preserve"> Na starobné poistenie</t>
  </si>
  <si>
    <t>625003</t>
  </si>
  <si>
    <t xml:space="preserve"> Na úrazové poistenie</t>
  </si>
  <si>
    <t>625004</t>
  </si>
  <si>
    <t xml:space="preserve"> Na invalidné poistenie</t>
  </si>
  <si>
    <t>625005</t>
  </si>
  <si>
    <t xml:space="preserve"> Na poistenie v nezamestnanosti</t>
  </si>
  <si>
    <t>625006</t>
  </si>
  <si>
    <t xml:space="preserve"> Na garančné poistenie</t>
  </si>
  <si>
    <t>625007</t>
  </si>
  <si>
    <t xml:space="preserve"> Na poistenie do rezervného fondu</t>
  </si>
  <si>
    <t>627</t>
  </si>
  <si>
    <t xml:space="preserve"> Príspevok do doplnkových dôchodkových poisťovní</t>
  </si>
  <si>
    <t>630</t>
  </si>
  <si>
    <t xml:space="preserve"> Tovary a služby</t>
  </si>
  <si>
    <t>631</t>
  </si>
  <si>
    <t xml:space="preserve"> Cestovné náhrady</t>
  </si>
  <si>
    <t xml:space="preserve">  Tuzemské pracovné cesty</t>
  </si>
  <si>
    <t xml:space="preserve">  Zahraničné pracovné cesty</t>
  </si>
  <si>
    <t xml:space="preserve">  Cestovné náhrady vlastným zamestnancom</t>
  </si>
  <si>
    <t>632</t>
  </si>
  <si>
    <t xml:space="preserve"> Energia, voda a komunikácie</t>
  </si>
  <si>
    <t xml:space="preserve"> Enegrie</t>
  </si>
  <si>
    <t xml:space="preserve"> Vodné, stočné </t>
  </si>
  <si>
    <t xml:space="preserve"> Poštovné služby a telekomunikačné služby</t>
  </si>
  <si>
    <t xml:space="preserve"> Komunikačná infraštruktúra</t>
  </si>
  <si>
    <t>633</t>
  </si>
  <si>
    <t xml:space="preserve"> Materiál</t>
  </si>
  <si>
    <t>633001</t>
  </si>
  <si>
    <t xml:space="preserve"> Interiérové vybavenie</t>
  </si>
  <si>
    <t>633002</t>
  </si>
  <si>
    <t xml:space="preserve"> Výpočtová technika</t>
  </si>
  <si>
    <t>633003</t>
  </si>
  <si>
    <t xml:space="preserve"> Telekomunikačná technika</t>
  </si>
  <si>
    <t>633004</t>
  </si>
  <si>
    <t xml:space="preserve"> Prevádzkové stroje, prístroje, zariadenia, technika a náradie</t>
  </si>
  <si>
    <t>633006</t>
  </si>
  <si>
    <t xml:space="preserve"> Všeobecný materiál</t>
  </si>
  <si>
    <t>633009</t>
  </si>
  <si>
    <t xml:space="preserve"> Knihy, časopisy, noviny, učebnice, učebné pomôcky </t>
  </si>
  <si>
    <t>633010</t>
  </si>
  <si>
    <t xml:space="preserve"> Pracovné odevy, obuv a pracovné pomôcky</t>
  </si>
  <si>
    <t>633013</t>
  </si>
  <si>
    <t xml:space="preserve"> Softvér </t>
  </si>
  <si>
    <t>633016</t>
  </si>
  <si>
    <t xml:space="preserve"> Reprezentačné</t>
  </si>
  <si>
    <t>634</t>
  </si>
  <si>
    <t xml:space="preserve"> Dopravné</t>
  </si>
  <si>
    <t xml:space="preserve"> Palivo, mazivá, oleje, špeciálne kvapaliny</t>
  </si>
  <si>
    <t xml:space="preserve"> Servis, údržba, opravy a výdavky s tým spojené</t>
  </si>
  <si>
    <t>634003</t>
  </si>
  <si>
    <t xml:space="preserve"> Poistenie</t>
  </si>
  <si>
    <t xml:space="preserve"> Prepravné a nájom dopravných prostriedkov</t>
  </si>
  <si>
    <t xml:space="preserve"> Karty, známky, poplatky</t>
  </si>
  <si>
    <t>635</t>
  </si>
  <si>
    <t xml:space="preserve"> Rutinná a štandartná údržba</t>
  </si>
  <si>
    <t xml:space="preserve">  Interiérového vybavenia</t>
  </si>
  <si>
    <t xml:space="preserve"> Výpočtovej techniky</t>
  </si>
  <si>
    <t xml:space="preserve"> Telekomunikačnej techniky</t>
  </si>
  <si>
    <t xml:space="preserve"> Prevádzkových strojov, prístrojov, zariadení, techniky a náradia</t>
  </si>
  <si>
    <t xml:space="preserve"> Budov, objekov alebo ich častí</t>
  </si>
  <si>
    <t>636</t>
  </si>
  <si>
    <t xml:space="preserve"> Nájomné za nájom</t>
  </si>
  <si>
    <t xml:space="preserve">  Nájomné budov, objektov alebo ich časti</t>
  </si>
  <si>
    <t xml:space="preserve">  Nájomné prevádzkových strojov, prístrojov, zariadení, techniky a náradia</t>
  </si>
  <si>
    <t xml:space="preserve">  Zmluvy o nájme veci s právom kúpy prenajatej veci</t>
  </si>
  <si>
    <t>637</t>
  </si>
  <si>
    <t xml:space="preserve"> Služby</t>
  </si>
  <si>
    <t>637001</t>
  </si>
  <si>
    <t xml:space="preserve"> Školenia, kurzy, semináre, porady, konferencie, sympóziá</t>
  </si>
  <si>
    <t>637003</t>
  </si>
  <si>
    <t xml:space="preserve"> Propagácia, reklama a inzercia</t>
  </si>
  <si>
    <t>637004</t>
  </si>
  <si>
    <t xml:space="preserve"> Všeobecné služby</t>
  </si>
  <si>
    <t>637005</t>
  </si>
  <si>
    <t xml:space="preserve"> Špeciálne služby</t>
  </si>
  <si>
    <t>637007</t>
  </si>
  <si>
    <t>637009</t>
  </si>
  <si>
    <t xml:space="preserve"> Náhrada mzdy a platu</t>
  </si>
  <si>
    <t>637011</t>
  </si>
  <si>
    <t xml:space="preserve"> Štúdie, expertízy, posudky</t>
  </si>
  <si>
    <t>637012</t>
  </si>
  <si>
    <t xml:space="preserve"> Poplatky a odvody</t>
  </si>
  <si>
    <t>637014</t>
  </si>
  <si>
    <t xml:space="preserve"> Stravovanie</t>
  </si>
  <si>
    <t>637015</t>
  </si>
  <si>
    <t xml:space="preserve"> Poistné</t>
  </si>
  <si>
    <t>637016</t>
  </si>
  <si>
    <t xml:space="preserve"> Prídel do sociálneho fondu</t>
  </si>
  <si>
    <t>637024</t>
  </si>
  <si>
    <t xml:space="preserve"> Vyrovnanie kurzových rozdielov</t>
  </si>
  <si>
    <t>637026</t>
  </si>
  <si>
    <t xml:space="preserve"> Odmeny a príspevky</t>
  </si>
  <si>
    <t>637027</t>
  </si>
  <si>
    <t xml:space="preserve"> Odmeny zamestnancov mimopracovného pomeru</t>
  </si>
  <si>
    <t>10.9.0.4</t>
  </si>
  <si>
    <t>637029</t>
  </si>
  <si>
    <t xml:space="preserve"> Manká a škody</t>
  </si>
  <si>
    <t xml:space="preserve">637031 </t>
  </si>
  <si>
    <t xml:space="preserve"> Pokuty a penále</t>
  </si>
  <si>
    <t>637034</t>
  </si>
  <si>
    <t xml:space="preserve"> Zdravotníckym zariadeniam</t>
  </si>
  <si>
    <t>637035</t>
  </si>
  <si>
    <t xml:space="preserve"> Dane</t>
  </si>
  <si>
    <t>640</t>
  </si>
  <si>
    <t xml:space="preserve"> Bežné transfery</t>
  </si>
  <si>
    <t>642</t>
  </si>
  <si>
    <t xml:space="preserve"> Transfery jednotlivocm a neziskovým právnickým osobám</t>
  </si>
  <si>
    <t>642012</t>
  </si>
  <si>
    <t xml:space="preserve"> Na odstupné</t>
  </si>
  <si>
    <t>642013</t>
  </si>
  <si>
    <t xml:space="preserve"> Na odchodné</t>
  </si>
  <si>
    <t>642014</t>
  </si>
  <si>
    <t xml:space="preserve"> Jednotlivcovi</t>
  </si>
  <si>
    <t>642015</t>
  </si>
  <si>
    <t xml:space="preserve"> Na nemocenské dávky</t>
  </si>
  <si>
    <t>642036</t>
  </si>
  <si>
    <t xml:space="preserve"> Na štipendiá</t>
  </si>
  <si>
    <t>649</t>
  </si>
  <si>
    <t xml:space="preserve"> Transfery do zahraničia</t>
  </si>
  <si>
    <t>649003</t>
  </si>
  <si>
    <t xml:space="preserve"> Medzinárodnej organizácii</t>
  </si>
  <si>
    <t>Vyhodnotenie plnenia rozpisu rozpočtu kapitálových výdavkov (nákladov) správneho fondu Sociálnej poisťovne za rok 2012</t>
  </si>
  <si>
    <t>700</t>
  </si>
  <si>
    <t xml:space="preserve"> Kapitálové výdavky</t>
  </si>
  <si>
    <t>710</t>
  </si>
  <si>
    <t xml:space="preserve"> Obstarávanie kapitálových aktív</t>
  </si>
  <si>
    <t xml:space="preserve"> 711</t>
  </si>
  <si>
    <t xml:space="preserve"> Nákup pozemkov a nehmotných aktív</t>
  </si>
  <si>
    <t>711001</t>
  </si>
  <si>
    <t xml:space="preserve"> Pozemkov</t>
  </si>
  <si>
    <t xml:space="preserve"> 711003</t>
  </si>
  <si>
    <t xml:space="preserve"> Softvéru</t>
  </si>
  <si>
    <t xml:space="preserve"> 711004</t>
  </si>
  <si>
    <t xml:space="preserve"> Licencií</t>
  </si>
  <si>
    <t>712</t>
  </si>
  <si>
    <t xml:space="preserve"> Nákup budov, objektov alebo ich častí</t>
  </si>
  <si>
    <t>712001</t>
  </si>
  <si>
    <t xml:space="preserve"> 713</t>
  </si>
  <si>
    <t xml:space="preserve"> Nákup strojov, prístrojov, zariadení, techniky a náradia</t>
  </si>
  <si>
    <t xml:space="preserve"> 713001</t>
  </si>
  <si>
    <t xml:space="preserve"> Interiérového vybavenia</t>
  </si>
  <si>
    <t xml:space="preserve"> 713002</t>
  </si>
  <si>
    <t xml:space="preserve"> 713003</t>
  </si>
  <si>
    <t xml:space="preserve"> 713004</t>
  </si>
  <si>
    <t xml:space="preserve"> 713005</t>
  </si>
  <si>
    <t xml:space="preserve"> Špeciálnych strojov, prístrojov, zariadení, techniky, náradia a materiálu</t>
  </si>
  <si>
    <t xml:space="preserve"> 714</t>
  </si>
  <si>
    <t xml:space="preserve"> Nákup dopravných prostriedkov všetkých druhov</t>
  </si>
  <si>
    <t>714001</t>
  </si>
  <si>
    <t xml:space="preserve"> Osobných automobilov</t>
  </si>
  <si>
    <t xml:space="preserve"> 716</t>
  </si>
  <si>
    <t xml:space="preserve"> Prípravná a projektová dokumentácia</t>
  </si>
  <si>
    <t xml:space="preserve"> 717</t>
  </si>
  <si>
    <t xml:space="preserve"> Realizácia stavieb a ich technické zhodnotenie</t>
  </si>
  <si>
    <t>717001</t>
  </si>
  <si>
    <t xml:space="preserve"> Realizácia nových stavieb</t>
  </si>
  <si>
    <t>717002</t>
  </si>
  <si>
    <t xml:space="preserve"> Rekonštrukcia a modernizácia</t>
  </si>
  <si>
    <t>717003</t>
  </si>
  <si>
    <t xml:space="preserve"> Prístavby, nadstavby, stavebné úpravy</t>
  </si>
  <si>
    <t>Vyhodnotenie plnenia rozpisu rozpočtu bežných výdavkov (nákladov) správneho fondu Sociálnej poisťovne ústredia za rok 2012</t>
  </si>
  <si>
    <t>637023</t>
  </si>
  <si>
    <t xml:space="preserve"> Kolkové známky</t>
  </si>
  <si>
    <t>637033</t>
  </si>
  <si>
    <t xml:space="preserve"> Zálohy na projekty Európskej únie</t>
  </si>
  <si>
    <t xml:space="preserve">**/ Zapracovaný vplyv  zákona  č. 521/2011 Z.z.  z  2. decembra 2011 a zákona č.  252/2012 Z.z. z 10. augusta 2012, ktorými sa mení a dopĺňa </t>
  </si>
  <si>
    <t>zákon č. 461/2003 Z. z. o sociálnom poistení v znení neskorších predpisov</t>
  </si>
  <si>
    <t>Pohľadávky voči zdravotníckym zariadeniam - nevymáhané</t>
  </si>
  <si>
    <t>Pohľadávky po ukončení vymáhania</t>
  </si>
  <si>
    <t>Pohľadávky pred začatím vymáhania</t>
  </si>
  <si>
    <t>pohľadávky na poistnom v nezamestnanosti evidovaných voči krajinám EÚ</t>
  </si>
  <si>
    <t>exekúcie v roku 2012</t>
  </si>
</sst>
</file>

<file path=xl/styles.xml><?xml version="1.0" encoding="utf-8"?>
<styleSheet xmlns="http://schemas.openxmlformats.org/spreadsheetml/2006/main">
  <numFmts count="25">
    <numFmt numFmtId="5" formatCode="#,##0\ &quot;EUR&quot;;\-#,##0\ &quot;EUR&quot;"/>
    <numFmt numFmtId="6" formatCode="#,##0\ &quot;EUR&quot;;[Red]\-#,##0\ &quot;EUR&quot;"/>
    <numFmt numFmtId="7" formatCode="#,##0.00\ &quot;EUR&quot;;\-#,##0.00\ &quot;EUR&quot;"/>
    <numFmt numFmtId="8" formatCode="#,##0.00\ &quot;EUR&quot;;[Red]\-#,##0.00\ &quot;EUR&quot;"/>
    <numFmt numFmtId="42" formatCode="_-* #,##0\ &quot;EUR&quot;_-;\-* #,##0\ &quot;EUR&quot;_-;_-* &quot;-&quot;\ &quot;EUR&quot;_-;_-@_-"/>
    <numFmt numFmtId="41" formatCode="_-* #,##0\ _E_U_R_-;\-* #,##0\ _E_U_R_-;_-* &quot;-&quot;\ _E_U_R_-;_-@_-"/>
    <numFmt numFmtId="44" formatCode="_-* #,##0.00\ &quot;EUR&quot;_-;\-* #,##0.00\ &quot;EUR&quot;_-;_-* &quot;-&quot;??\ &quot;EUR&quot;_-;_-@_-"/>
    <numFmt numFmtId="43" formatCode="_-* #,##0.00\ _E_U_R_-;\-* #,##0.00\ _E_U_R_-;_-* &quot;-&quot;??\ _E_U_R_-;_-@_-"/>
    <numFmt numFmtId="164" formatCode="_-* #,##0\ _S_k_-;\-* #,##0\ _S_k_-;_-* &quot;-&quot;\ _S_k_-;_-@_-"/>
    <numFmt numFmtId="165" formatCode="_-* #,##0.00\ &quot;Sk&quot;_-;\-* #,##0.00\ &quot;Sk&quot;_-;_-* &quot;-&quot;??\ &quot;Sk&quot;_-;_-@_-"/>
    <numFmt numFmtId="166" formatCode="_-* #,##0.00\ _S_k_-;\-* #,##0.00\ _S_k_-;_-* &quot;-&quot;??\ _S_k_-;_-@_-"/>
    <numFmt numFmtId="167" formatCode="&quot;$&quot;#,##0;[Red]\-&quot;$&quot;#,##0"/>
    <numFmt numFmtId="168" formatCode="m\o\n\th\ d\,\ \y\y\y\y"/>
    <numFmt numFmtId="169" formatCode=";;"/>
    <numFmt numFmtId="170" formatCode="_-* #,##0.00\ [$€-1]_-;\-* #,##0.00\ [$€-1]_-;_-* &quot;-&quot;??\ [$€-1]_-"/>
    <numFmt numFmtId="171" formatCode="#,##0\ _S_k"/>
    <numFmt numFmtId="172" formatCode="#,##0.00_ ;\-#,##0.00\ "/>
    <numFmt numFmtId="173" formatCode="#,##0.0000"/>
    <numFmt numFmtId="174" formatCode="#,##0.00000"/>
    <numFmt numFmtId="175" formatCode="#,##0.00_ ;[Red]\-#,##0.00\ "/>
    <numFmt numFmtId="176" formatCode="0.0%"/>
    <numFmt numFmtId="177" formatCode="0.0"/>
    <numFmt numFmtId="178" formatCode="#,##0;#,##0;&quot; &quot;"/>
    <numFmt numFmtId="179" formatCode="#,##0.00;#,##0.00;&quot; &quot;"/>
    <numFmt numFmtId="180" formatCode="#,##0.0"/>
  </numFmts>
  <fonts count="102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Arial CE"/>
      <family val="0"/>
    </font>
    <font>
      <sz val="11"/>
      <name val="Arial"/>
      <family val="2"/>
    </font>
    <font>
      <sz val="11"/>
      <color indexed="9"/>
      <name val="Calibri"/>
      <family val="2"/>
    </font>
    <font>
      <b/>
      <i/>
      <sz val="10"/>
      <name val="Times New Roman"/>
      <family val="1"/>
    </font>
    <font>
      <sz val="8"/>
      <name val="Arial CE"/>
      <family val="2"/>
    </font>
    <font>
      <sz val="1"/>
      <color indexed="8"/>
      <name val="Courier"/>
      <family val="3"/>
    </font>
    <font>
      <sz val="11"/>
      <color indexed="17"/>
      <name val="Calibri"/>
      <family val="2"/>
    </font>
    <font>
      <b/>
      <sz val="1"/>
      <color indexed="8"/>
      <name val="Courier"/>
      <family val="3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name val="Arial CE"/>
      <family val="2"/>
    </font>
    <font>
      <sz val="11"/>
      <color indexed="60"/>
      <name val="Calibri"/>
      <family val="2"/>
    </font>
    <font>
      <sz val="12"/>
      <name val="Arial CE"/>
      <family val="0"/>
    </font>
    <font>
      <sz val="11"/>
      <color indexed="52"/>
      <name val="Calibri"/>
      <family val="2"/>
    </font>
    <font>
      <sz val="6"/>
      <name val="Arial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i/>
      <u val="single"/>
      <sz val="24"/>
      <name val="Times New Roman CE"/>
      <family val="1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2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indexed="20"/>
      <name val="Arial"/>
      <family val="2"/>
    </font>
    <font>
      <sz val="12"/>
      <color indexed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57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b/>
      <sz val="16"/>
      <name val="Arial CE"/>
      <family val="2"/>
    </font>
    <font>
      <sz val="16"/>
      <name val="Arial CE"/>
      <family val="2"/>
    </font>
    <font>
      <sz val="11"/>
      <name val="Arial CE"/>
      <family val="0"/>
    </font>
    <font>
      <b/>
      <sz val="14"/>
      <name val="Arial CE"/>
      <family val="2"/>
    </font>
    <font>
      <b/>
      <sz val="11"/>
      <name val="Arial CE"/>
      <family val="0"/>
    </font>
    <font>
      <b/>
      <sz val="14"/>
      <color indexed="53"/>
      <name val="Arial"/>
      <family val="2"/>
    </font>
    <font>
      <sz val="10"/>
      <name val="Courier"/>
      <family val="1"/>
    </font>
    <font>
      <b/>
      <sz val="18"/>
      <name val="Arial CE"/>
      <family val="0"/>
    </font>
    <font>
      <sz val="14"/>
      <name val="Arial CE"/>
      <family val="2"/>
    </font>
    <font>
      <b/>
      <i/>
      <sz val="11"/>
      <name val="Arial CE"/>
      <family val="0"/>
    </font>
    <font>
      <i/>
      <sz val="11"/>
      <name val="Arial CE"/>
      <family val="0"/>
    </font>
    <font>
      <b/>
      <sz val="10"/>
      <name val="Arial CE"/>
      <family val="2"/>
    </font>
    <font>
      <sz val="10"/>
      <name val="Times New Roman"/>
      <family val="1"/>
    </font>
    <font>
      <b/>
      <sz val="12"/>
      <color indexed="10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28"/>
      <color indexed="8"/>
      <name val="Arial"/>
      <family val="0"/>
    </font>
    <font>
      <b/>
      <sz val="16"/>
      <color indexed="12"/>
      <name val="Arial"/>
      <family val="0"/>
    </font>
    <font>
      <b/>
      <sz val="16"/>
      <color indexed="17"/>
      <name val="Arial"/>
      <family val="0"/>
    </font>
    <font>
      <b/>
      <sz val="16"/>
      <color indexed="53"/>
      <name val="Arial"/>
      <family val="0"/>
    </font>
    <font>
      <b/>
      <sz val="16"/>
      <color indexed="10"/>
      <name val="Arial"/>
      <family val="0"/>
    </font>
    <font>
      <b/>
      <sz val="20"/>
      <color indexed="10"/>
      <name val="Arial"/>
      <family val="0"/>
    </font>
    <font>
      <sz val="11.75"/>
      <color indexed="8"/>
      <name val="Arial"/>
      <family val="0"/>
    </font>
    <font>
      <sz val="10.75"/>
      <color indexed="8"/>
      <name val="Arial"/>
      <family val="0"/>
    </font>
    <font>
      <b/>
      <sz val="16.5"/>
      <color indexed="8"/>
      <name val="Arial"/>
      <family val="0"/>
    </font>
    <font>
      <sz val="10"/>
      <color indexed="8"/>
      <name val="Calibri"/>
      <family val="0"/>
    </font>
    <font>
      <sz val="9"/>
      <color indexed="8"/>
      <name val="Calibri"/>
      <family val="0"/>
    </font>
    <font>
      <sz val="11.25"/>
      <color indexed="8"/>
      <name val="Arial"/>
      <family val="0"/>
    </font>
    <font>
      <sz val="8.25"/>
      <color indexed="8"/>
      <name val="Arial"/>
      <family val="0"/>
    </font>
    <font>
      <b/>
      <sz val="11.25"/>
      <color indexed="8"/>
      <name val="Arial"/>
      <family val="0"/>
    </font>
    <font>
      <sz val="10.35"/>
      <color indexed="8"/>
      <name val="Arial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006100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9C6500"/>
      <name val="Arial"/>
      <family val="2"/>
    </font>
    <font>
      <sz val="11"/>
      <color theme="1"/>
      <name val="Calibri"/>
      <family val="2"/>
    </font>
    <font>
      <sz val="10"/>
      <color rgb="FFFA7D00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sz val="10"/>
      <color rgb="FF9C0006"/>
      <name val="Arial"/>
      <family val="2"/>
    </font>
    <font>
      <sz val="10"/>
      <color theme="6" tint="-0.24997000396251678"/>
      <name val="Arial"/>
      <family val="2"/>
    </font>
  </fonts>
  <fills count="5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7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indexed="62"/>
      </bottom>
    </border>
    <border>
      <left/>
      <right/>
      <top/>
      <bottom style="thick">
        <color theme="4"/>
      </bottom>
    </border>
    <border>
      <left/>
      <right/>
      <top/>
      <bottom style="thick">
        <color indexed="22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indexed="30"/>
      </bottom>
    </border>
    <border>
      <left/>
      <right/>
      <top/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indexed="52"/>
      </bottom>
    </border>
    <border>
      <left/>
      <right/>
      <top/>
      <bottom style="double">
        <color rgb="FFFF8001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 style="medium"/>
      <right style="medium"/>
      <top style="medium"/>
      <bottom style="medium"/>
    </border>
    <border>
      <left/>
      <right style="medium"/>
      <top/>
      <bottom style="medium"/>
    </border>
    <border>
      <left/>
      <right style="medium"/>
      <top style="medium"/>
      <bottom/>
    </border>
    <border>
      <left style="medium"/>
      <right style="medium"/>
      <top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 style="thin"/>
      <right/>
      <top/>
      <bottom style="medium"/>
    </border>
    <border>
      <left style="thin"/>
      <right style="thin"/>
      <top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/>
      <right/>
      <top style="medium"/>
      <bottom/>
    </border>
    <border>
      <left/>
      <right/>
      <top/>
      <bottom style="medium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 style="medium"/>
      <top style="thin"/>
      <bottom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/>
    </border>
    <border>
      <left style="thin"/>
      <right style="medium"/>
      <top/>
      <bottom/>
    </border>
    <border>
      <left style="medium"/>
      <right style="medium"/>
      <top style="thin"/>
      <bottom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/>
      <right style="thin"/>
      <top/>
      <bottom style="medium"/>
    </border>
    <border>
      <left style="medium"/>
      <right/>
      <top style="medium"/>
      <bottom style="thin"/>
    </border>
    <border>
      <left style="medium"/>
      <right style="medium"/>
      <top/>
      <bottom style="thin"/>
    </border>
    <border>
      <left/>
      <right style="thin"/>
      <top style="medium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 style="thin"/>
      <bottom/>
    </border>
  </borders>
  <cellStyleXfs count="1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84" fillId="3" borderId="0" applyNumberFormat="0" applyBorder="0" applyAlignment="0" applyProtection="0"/>
    <xf numFmtId="0" fontId="1" fillId="4" borderId="0" applyNumberFormat="0" applyBorder="0" applyAlignment="0" applyProtection="0"/>
    <xf numFmtId="0" fontId="84" fillId="5" borderId="0" applyNumberFormat="0" applyBorder="0" applyAlignment="0" applyProtection="0"/>
    <xf numFmtId="0" fontId="1" fillId="6" borderId="0" applyNumberFormat="0" applyBorder="0" applyAlignment="0" applyProtection="0"/>
    <xf numFmtId="0" fontId="84" fillId="7" borderId="0" applyNumberFormat="0" applyBorder="0" applyAlignment="0" applyProtection="0"/>
    <xf numFmtId="0" fontId="1" fillId="8" borderId="0" applyNumberFormat="0" applyBorder="0" applyAlignment="0" applyProtection="0"/>
    <xf numFmtId="0" fontId="84" fillId="9" borderId="0" applyNumberFormat="0" applyBorder="0" applyAlignment="0" applyProtection="0"/>
    <xf numFmtId="0" fontId="1" fillId="10" borderId="0" applyNumberFormat="0" applyBorder="0" applyAlignment="0" applyProtection="0"/>
    <xf numFmtId="0" fontId="84" fillId="11" borderId="0" applyNumberFormat="0" applyBorder="0" applyAlignment="0" applyProtection="0"/>
    <xf numFmtId="0" fontId="1" fillId="12" borderId="0" applyNumberFormat="0" applyBorder="0" applyAlignment="0" applyProtection="0"/>
    <xf numFmtId="0" fontId="84" fillId="13" borderId="0" applyNumberFormat="0" applyBorder="0" applyAlignment="0" applyProtection="0"/>
    <xf numFmtId="0" fontId="1" fillId="14" borderId="0" applyNumberFormat="0" applyBorder="0" applyAlignment="0" applyProtection="0"/>
    <xf numFmtId="0" fontId="84" fillId="15" borderId="0" applyNumberFormat="0" applyBorder="0" applyAlignment="0" applyProtection="0"/>
    <xf numFmtId="0" fontId="1" fillId="16" borderId="0" applyNumberFormat="0" applyBorder="0" applyAlignment="0" applyProtection="0"/>
    <xf numFmtId="0" fontId="84" fillId="17" borderId="0" applyNumberFormat="0" applyBorder="0" applyAlignment="0" applyProtection="0"/>
    <xf numFmtId="0" fontId="1" fillId="18" borderId="0" applyNumberFormat="0" applyBorder="0" applyAlignment="0" applyProtection="0"/>
    <xf numFmtId="0" fontId="84" fillId="19" borderId="0" applyNumberFormat="0" applyBorder="0" applyAlignment="0" applyProtection="0"/>
    <xf numFmtId="0" fontId="1" fillId="8" borderId="0" applyNumberFormat="0" applyBorder="0" applyAlignment="0" applyProtection="0"/>
    <xf numFmtId="0" fontId="84" fillId="20" borderId="0" applyNumberFormat="0" applyBorder="0" applyAlignment="0" applyProtection="0"/>
    <xf numFmtId="0" fontId="1" fillId="14" borderId="0" applyNumberFormat="0" applyBorder="0" applyAlignment="0" applyProtection="0"/>
    <xf numFmtId="0" fontId="84" fillId="21" borderId="0" applyNumberFormat="0" applyBorder="0" applyAlignment="0" applyProtection="0"/>
    <xf numFmtId="0" fontId="1" fillId="22" borderId="0" applyNumberFormat="0" applyBorder="0" applyAlignment="0" applyProtection="0"/>
    <xf numFmtId="0" fontId="84" fillId="23" borderId="0" applyNumberFormat="0" applyBorder="0" applyAlignment="0" applyProtection="0"/>
    <xf numFmtId="0" fontId="5" fillId="24" borderId="0" applyNumberFormat="0" applyBorder="0" applyAlignment="0" applyProtection="0"/>
    <xf numFmtId="0" fontId="85" fillId="25" borderId="0" applyNumberFormat="0" applyBorder="0" applyAlignment="0" applyProtection="0"/>
    <xf numFmtId="0" fontId="5" fillId="16" borderId="0" applyNumberFormat="0" applyBorder="0" applyAlignment="0" applyProtection="0"/>
    <xf numFmtId="0" fontId="85" fillId="26" borderId="0" applyNumberFormat="0" applyBorder="0" applyAlignment="0" applyProtection="0"/>
    <xf numFmtId="0" fontId="5" fillId="18" borderId="0" applyNumberFormat="0" applyBorder="0" applyAlignment="0" applyProtection="0"/>
    <xf numFmtId="0" fontId="85" fillId="27" borderId="0" applyNumberFormat="0" applyBorder="0" applyAlignment="0" applyProtection="0"/>
    <xf numFmtId="0" fontId="5" fillId="28" borderId="0" applyNumberFormat="0" applyBorder="0" applyAlignment="0" applyProtection="0"/>
    <xf numFmtId="0" fontId="85" fillId="29" borderId="0" applyNumberFormat="0" applyBorder="0" applyAlignment="0" applyProtection="0"/>
    <xf numFmtId="0" fontId="5" fillId="30" borderId="0" applyNumberFormat="0" applyBorder="0" applyAlignment="0" applyProtection="0"/>
    <xf numFmtId="0" fontId="85" fillId="31" borderId="0" applyNumberFormat="0" applyBorder="0" applyAlignment="0" applyProtection="0"/>
    <xf numFmtId="0" fontId="5" fillId="32" borderId="0" applyNumberFormat="0" applyBorder="0" applyAlignment="0" applyProtection="0"/>
    <xf numFmtId="0" fontId="85" fillId="33" borderId="0" applyNumberFormat="0" applyBorder="0" applyAlignment="0" applyProtection="0"/>
    <xf numFmtId="3" fontId="6" fillId="0" borderId="0">
      <alignment/>
      <protection/>
    </xf>
    <xf numFmtId="3" fontId="7" fillId="0" borderId="0">
      <alignment/>
      <protection/>
    </xf>
    <xf numFmtId="38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8" fontId="8" fillId="0" borderId="0">
      <alignment/>
      <protection locked="0"/>
    </xf>
    <xf numFmtId="0" fontId="9" fillId="6" borderId="0" applyNumberFormat="0" applyBorder="0" applyAlignment="0" applyProtection="0"/>
    <xf numFmtId="0" fontId="86" fillId="34" borderId="0" applyNumberFormat="0" applyBorder="0" applyAlignment="0" applyProtection="0"/>
    <xf numFmtId="170" fontId="0" fillId="0" borderId="0" applyFont="0" applyFill="0" applyBorder="0" applyAlignment="0" applyProtection="0"/>
    <xf numFmtId="169" fontId="8" fillId="0" borderId="0">
      <alignment/>
      <protection locked="0"/>
    </xf>
    <xf numFmtId="0" fontId="10" fillId="0" borderId="0">
      <alignment/>
      <protection locked="0"/>
    </xf>
    <xf numFmtId="0" fontId="10" fillId="0" borderId="0">
      <alignment/>
      <protection locked="0"/>
    </xf>
    <xf numFmtId="0" fontId="11" fillId="35" borderId="1" applyNumberFormat="0" applyAlignment="0" applyProtection="0"/>
    <xf numFmtId="0" fontId="87" fillId="36" borderId="2" applyNumberFormat="0" applyAlignment="0" applyProtection="0"/>
    <xf numFmtId="165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88" fillId="0" borderId="4" applyNumberFormat="0" applyFill="0" applyAlignment="0" applyProtection="0"/>
    <xf numFmtId="0" fontId="13" fillId="0" borderId="5" applyNumberFormat="0" applyFill="0" applyAlignment="0" applyProtection="0"/>
    <xf numFmtId="0" fontId="89" fillId="0" borderId="6" applyNumberFormat="0" applyFill="0" applyAlignment="0" applyProtection="0"/>
    <xf numFmtId="0" fontId="14" fillId="0" borderId="7" applyNumberFormat="0" applyFill="0" applyAlignment="0" applyProtection="0"/>
    <xf numFmtId="0" fontId="90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2" fontId="15" fillId="0" borderId="0">
      <alignment/>
      <protection/>
    </xf>
    <xf numFmtId="0" fontId="16" fillId="37" borderId="0" applyNumberFormat="0" applyBorder="0" applyAlignment="0" applyProtection="0"/>
    <xf numFmtId="0" fontId="91" fillId="38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0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7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" fillId="0" borderId="0">
      <alignment/>
      <protection/>
    </xf>
    <xf numFmtId="0" fontId="3" fillId="39" borderId="9" applyNumberFormat="0" applyFont="0" applyAlignment="0" applyProtection="0"/>
    <xf numFmtId="0" fontId="84" fillId="40" borderId="10" applyNumberFormat="0" applyFont="0" applyAlignment="0" applyProtection="0"/>
    <xf numFmtId="0" fontId="18" fillId="0" borderId="11" applyNumberFormat="0" applyFill="0" applyAlignment="0" applyProtection="0"/>
    <xf numFmtId="0" fontId="93" fillId="0" borderId="12" applyNumberFormat="0" applyFill="0" applyAlignment="0" applyProtection="0"/>
    <xf numFmtId="49" fontId="19" fillId="0" borderId="0">
      <alignment/>
      <protection/>
    </xf>
    <xf numFmtId="0" fontId="20" fillId="0" borderId="13" applyNumberFormat="0" applyFill="0" applyAlignment="0" applyProtection="0"/>
    <xf numFmtId="0" fontId="94" fillId="0" borderId="14" applyNumberFormat="0" applyFill="0" applyAlignment="0" applyProtection="0"/>
    <xf numFmtId="0" fontId="21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8" fillId="0" borderId="15">
      <alignment/>
      <protection locked="0"/>
    </xf>
    <xf numFmtId="0" fontId="23" fillId="0" borderId="0">
      <alignment/>
      <protection/>
    </xf>
    <xf numFmtId="0" fontId="24" fillId="12" borderId="16" applyNumberFormat="0" applyAlignment="0" applyProtection="0"/>
    <xf numFmtId="0" fontId="96" fillId="41" borderId="17" applyNumberFormat="0" applyAlignment="0" applyProtection="0"/>
    <xf numFmtId="0" fontId="25" fillId="42" borderId="16" applyNumberFormat="0" applyAlignment="0" applyProtection="0"/>
    <xf numFmtId="0" fontId="97" fillId="43" borderId="17" applyNumberFormat="0" applyAlignment="0" applyProtection="0"/>
    <xf numFmtId="0" fontId="26" fillId="42" borderId="18" applyNumberFormat="0" applyAlignment="0" applyProtection="0"/>
    <xf numFmtId="0" fontId="98" fillId="43" borderId="19" applyNumberFormat="0" applyAlignment="0" applyProtection="0"/>
    <xf numFmtId="0" fontId="27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28" fillId="4" borderId="0" applyNumberFormat="0" applyBorder="0" applyAlignment="0" applyProtection="0"/>
    <xf numFmtId="0" fontId="100" fillId="44" borderId="0" applyNumberFormat="0" applyBorder="0" applyAlignment="0" applyProtection="0"/>
    <xf numFmtId="0" fontId="5" fillId="45" borderId="0" applyNumberFormat="0" applyBorder="0" applyAlignment="0" applyProtection="0"/>
    <xf numFmtId="0" fontId="85" fillId="46" borderId="0" applyNumberFormat="0" applyBorder="0" applyAlignment="0" applyProtection="0"/>
    <xf numFmtId="0" fontId="5" fillId="47" borderId="0" applyNumberFormat="0" applyBorder="0" applyAlignment="0" applyProtection="0"/>
    <xf numFmtId="0" fontId="85" fillId="48" borderId="0" applyNumberFormat="0" applyBorder="0" applyAlignment="0" applyProtection="0"/>
    <xf numFmtId="0" fontId="5" fillId="49" borderId="0" applyNumberFormat="0" applyBorder="0" applyAlignment="0" applyProtection="0"/>
    <xf numFmtId="0" fontId="85" fillId="50" borderId="0" applyNumberFormat="0" applyBorder="0" applyAlignment="0" applyProtection="0"/>
    <xf numFmtId="0" fontId="5" fillId="28" borderId="0" applyNumberFormat="0" applyBorder="0" applyAlignment="0" applyProtection="0"/>
    <xf numFmtId="0" fontId="85" fillId="51" borderId="0" applyNumberFormat="0" applyBorder="0" applyAlignment="0" applyProtection="0"/>
    <xf numFmtId="0" fontId="5" fillId="30" borderId="0" applyNumberFormat="0" applyBorder="0" applyAlignment="0" applyProtection="0"/>
    <xf numFmtId="0" fontId="85" fillId="52" borderId="0" applyNumberFormat="0" applyBorder="0" applyAlignment="0" applyProtection="0"/>
    <xf numFmtId="0" fontId="5" fillId="53" borderId="0" applyNumberFormat="0" applyBorder="0" applyAlignment="0" applyProtection="0"/>
    <xf numFmtId="0" fontId="85" fillId="54" borderId="0" applyNumberFormat="0" applyBorder="0" applyAlignment="0" applyProtection="0"/>
  </cellStyleXfs>
  <cellXfs count="768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20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0" fontId="0" fillId="0" borderId="22" xfId="0" applyFont="1" applyFill="1" applyBorder="1" applyAlignment="1">
      <alignment horizontal="center"/>
    </xf>
    <xf numFmtId="0" fontId="0" fillId="0" borderId="22" xfId="0" applyFont="1" applyFill="1" applyBorder="1" applyAlignment="1">
      <alignment/>
    </xf>
    <xf numFmtId="2" fontId="0" fillId="0" borderId="22" xfId="0" applyNumberFormat="1" applyFont="1" applyFill="1" applyBorder="1" applyAlignment="1">
      <alignment wrapText="1"/>
    </xf>
    <xf numFmtId="166" fontId="0" fillId="0" borderId="0" xfId="55" applyFont="1" applyFill="1" applyBorder="1" applyAlignment="1">
      <alignment/>
    </xf>
    <xf numFmtId="166" fontId="0" fillId="0" borderId="23" xfId="55" applyFont="1" applyFill="1" applyBorder="1" applyAlignment="1">
      <alignment/>
    </xf>
    <xf numFmtId="0" fontId="0" fillId="0" borderId="22" xfId="0" applyFont="1" applyFill="1" applyBorder="1" applyAlignment="1">
      <alignment vertical="center"/>
    </xf>
    <xf numFmtId="0" fontId="29" fillId="0" borderId="0" xfId="120" applyFont="1" applyFill="1">
      <alignment/>
      <protection/>
    </xf>
    <xf numFmtId="0" fontId="30" fillId="0" borderId="0" xfId="120" applyFont="1" applyFill="1">
      <alignment/>
      <protection/>
    </xf>
    <xf numFmtId="0" fontId="0" fillId="0" borderId="22" xfId="0" applyFont="1" applyFill="1" applyBorder="1" applyAlignment="1">
      <alignment horizontal="center" wrapText="1"/>
    </xf>
    <xf numFmtId="49" fontId="0" fillId="0" borderId="22" xfId="112" applyNumberFormat="1" applyFont="1" applyFill="1" applyBorder="1" applyAlignment="1">
      <alignment horizontal="center" wrapText="1"/>
      <protection/>
    </xf>
    <xf numFmtId="0" fontId="0" fillId="0" borderId="0" xfId="119" applyFont="1" applyFill="1">
      <alignment/>
      <protection/>
    </xf>
    <xf numFmtId="0" fontId="29" fillId="0" borderId="0" xfId="112" applyFont="1" applyFill="1">
      <alignment/>
      <protection/>
    </xf>
    <xf numFmtId="0" fontId="29" fillId="0" borderId="0" xfId="112" applyFont="1" applyFill="1" applyAlignment="1">
      <alignment horizontal="right"/>
      <protection/>
    </xf>
    <xf numFmtId="0" fontId="29" fillId="0" borderId="22" xfId="112" applyFont="1" applyFill="1" applyBorder="1" applyAlignment="1">
      <alignment horizontal="center"/>
      <protection/>
    </xf>
    <xf numFmtId="49" fontId="29" fillId="0" borderId="22" xfId="112" applyNumberFormat="1" applyFont="1" applyFill="1" applyBorder="1" applyAlignment="1">
      <alignment horizontal="center" wrapText="1"/>
      <protection/>
    </xf>
    <xf numFmtId="0" fontId="29" fillId="0" borderId="22" xfId="112" applyFont="1" applyFill="1" applyBorder="1">
      <alignment/>
      <protection/>
    </xf>
    <xf numFmtId="3" fontId="29" fillId="0" borderId="22" xfId="112" applyNumberFormat="1" applyFont="1" applyFill="1" applyBorder="1">
      <alignment/>
      <protection/>
    </xf>
    <xf numFmtId="3" fontId="29" fillId="0" borderId="0" xfId="112" applyNumberFormat="1" applyFont="1" applyFill="1">
      <alignment/>
      <protection/>
    </xf>
    <xf numFmtId="3" fontId="29" fillId="0" borderId="0" xfId="112" applyNumberFormat="1" applyFont="1" applyFill="1" applyBorder="1">
      <alignment/>
      <protection/>
    </xf>
    <xf numFmtId="3" fontId="29" fillId="0" borderId="23" xfId="119" applyNumberFormat="1" applyFont="1" applyFill="1" applyBorder="1">
      <alignment/>
      <protection/>
    </xf>
    <xf numFmtId="0" fontId="29" fillId="0" borderId="0" xfId="119" applyFont="1" applyFill="1">
      <alignment/>
      <protection/>
    </xf>
    <xf numFmtId="0" fontId="29" fillId="0" borderId="0" xfId="113" applyFont="1" applyFill="1">
      <alignment/>
      <protection/>
    </xf>
    <xf numFmtId="0" fontId="29" fillId="0" borderId="0" xfId="0" applyFont="1" applyFill="1" applyAlignment="1">
      <alignment/>
    </xf>
    <xf numFmtId="0" fontId="29" fillId="0" borderId="20" xfId="0" applyFont="1" applyFill="1" applyBorder="1" applyAlignment="1">
      <alignment horizontal="center" wrapText="1"/>
    </xf>
    <xf numFmtId="0" fontId="29" fillId="0" borderId="0" xfId="0" applyFont="1" applyFill="1" applyAlignment="1">
      <alignment horizontal="right"/>
    </xf>
    <xf numFmtId="0" fontId="29" fillId="0" borderId="0" xfId="0" applyFont="1" applyFill="1" applyBorder="1" applyAlignment="1">
      <alignment/>
    </xf>
    <xf numFmtId="0" fontId="29" fillId="0" borderId="0" xfId="122" applyFont="1" applyFill="1">
      <alignment/>
      <protection/>
    </xf>
    <xf numFmtId="0" fontId="29" fillId="0" borderId="0" xfId="122" applyFont="1" applyFill="1" applyAlignment="1">
      <alignment horizontal="right"/>
      <protection/>
    </xf>
    <xf numFmtId="0" fontId="29" fillId="0" borderId="0" xfId="122" applyFont="1" applyFill="1" applyBorder="1">
      <alignment/>
      <protection/>
    </xf>
    <xf numFmtId="0" fontId="29" fillId="0" borderId="0" xfId="122" applyFont="1" applyFill="1" applyBorder="1" applyAlignment="1">
      <alignment horizontal="right"/>
      <protection/>
    </xf>
    <xf numFmtId="0" fontId="29" fillId="0" borderId="22" xfId="122" applyFont="1" applyFill="1" applyBorder="1" applyAlignment="1">
      <alignment horizontal="center" wrapText="1"/>
      <protection/>
    </xf>
    <xf numFmtId="0" fontId="29" fillId="0" borderId="0" xfId="122" applyFont="1" applyFill="1" applyBorder="1" applyAlignment="1">
      <alignment wrapText="1"/>
      <protection/>
    </xf>
    <xf numFmtId="0" fontId="29" fillId="0" borderId="22" xfId="122" applyFont="1" applyFill="1" applyBorder="1" applyAlignment="1">
      <alignment horizontal="center"/>
      <protection/>
    </xf>
    <xf numFmtId="0" fontId="29" fillId="0" borderId="20" xfId="122" applyFont="1" applyFill="1" applyBorder="1" applyAlignment="1">
      <alignment horizontal="left" wrapText="1"/>
      <protection/>
    </xf>
    <xf numFmtId="0" fontId="29" fillId="0" borderId="20" xfId="122" applyFont="1" applyFill="1" applyBorder="1" applyAlignment="1">
      <alignment horizontal="center" wrapText="1"/>
      <protection/>
    </xf>
    <xf numFmtId="0" fontId="29" fillId="0" borderId="20" xfId="122" applyFont="1" applyFill="1" applyBorder="1" applyAlignment="1">
      <alignment horizontal="center"/>
      <protection/>
    </xf>
    <xf numFmtId="0" fontId="29" fillId="0" borderId="21" xfId="122" applyFont="1" applyFill="1" applyBorder="1">
      <alignment/>
      <protection/>
    </xf>
    <xf numFmtId="3" fontId="29" fillId="0" borderId="21" xfId="122" applyNumberFormat="1" applyFont="1" applyFill="1" applyBorder="1">
      <alignment/>
      <protection/>
    </xf>
    <xf numFmtId="2" fontId="29" fillId="0" borderId="21" xfId="122" applyNumberFormat="1" applyFont="1" applyFill="1" applyBorder="1">
      <alignment/>
      <protection/>
    </xf>
    <xf numFmtId="3" fontId="29" fillId="0" borderId="0" xfId="122" applyNumberFormat="1" applyFont="1" applyFill="1" applyBorder="1">
      <alignment/>
      <protection/>
    </xf>
    <xf numFmtId="2" fontId="29" fillId="0" borderId="0" xfId="122" applyNumberFormat="1" applyFont="1" applyFill="1" applyBorder="1">
      <alignment/>
      <protection/>
    </xf>
    <xf numFmtId="0" fontId="29" fillId="0" borderId="21" xfId="122" applyFont="1" applyFill="1" applyBorder="1" applyAlignment="1">
      <alignment wrapText="1"/>
      <protection/>
    </xf>
    <xf numFmtId="3" fontId="29" fillId="0" borderId="21" xfId="122" applyNumberFormat="1" applyFont="1" applyFill="1" applyBorder="1" applyAlignment="1">
      <alignment wrapText="1"/>
      <protection/>
    </xf>
    <xf numFmtId="3" fontId="29" fillId="0" borderId="21" xfId="122" applyNumberFormat="1" applyFont="1" applyFill="1" applyBorder="1" quotePrefix="1">
      <alignment/>
      <protection/>
    </xf>
    <xf numFmtId="0" fontId="29" fillId="0" borderId="22" xfId="122" applyFont="1" applyFill="1" applyBorder="1" applyAlignment="1">
      <alignment wrapText="1"/>
      <protection/>
    </xf>
    <xf numFmtId="3" fontId="29" fillId="0" borderId="22" xfId="122" applyNumberFormat="1" applyFont="1" applyFill="1" applyBorder="1" applyAlignment="1">
      <alignment wrapText="1"/>
      <protection/>
    </xf>
    <xf numFmtId="3" fontId="29" fillId="0" borderId="22" xfId="122" applyNumberFormat="1" applyFont="1" applyFill="1" applyBorder="1">
      <alignment/>
      <protection/>
    </xf>
    <xf numFmtId="2" fontId="29" fillId="0" borderId="22" xfId="122" applyNumberFormat="1" applyFont="1" applyFill="1" applyBorder="1">
      <alignment/>
      <protection/>
    </xf>
    <xf numFmtId="4" fontId="29" fillId="0" borderId="0" xfId="122" applyNumberFormat="1" applyFont="1" applyFill="1" applyBorder="1">
      <alignment/>
      <protection/>
    </xf>
    <xf numFmtId="0" fontId="29" fillId="0" borderId="21" xfId="0" applyFont="1" applyFill="1" applyBorder="1" applyAlignment="1">
      <alignment/>
    </xf>
    <xf numFmtId="3" fontId="29" fillId="0" borderId="23" xfId="0" applyNumberFormat="1" applyFont="1" applyFill="1" applyBorder="1" applyAlignment="1">
      <alignment/>
    </xf>
    <xf numFmtId="3" fontId="29" fillId="0" borderId="21" xfId="0" applyNumberFormat="1" applyFont="1" applyBorder="1" applyAlignment="1">
      <alignment/>
    </xf>
    <xf numFmtId="3" fontId="29" fillId="0" borderId="21" xfId="0" applyNumberFormat="1" applyFont="1" applyFill="1" applyBorder="1" applyAlignment="1">
      <alignment/>
    </xf>
    <xf numFmtId="0" fontId="29" fillId="0" borderId="22" xfId="0" applyFont="1" applyFill="1" applyBorder="1" applyAlignment="1">
      <alignment/>
    </xf>
    <xf numFmtId="3" fontId="29" fillId="0" borderId="22" xfId="0" applyNumberFormat="1" applyFont="1" applyFill="1" applyBorder="1" applyAlignment="1">
      <alignment/>
    </xf>
    <xf numFmtId="3" fontId="29" fillId="0" borderId="21" xfId="0" applyNumberFormat="1" applyFont="1" applyFill="1" applyBorder="1" applyAlignment="1">
      <alignment/>
    </xf>
    <xf numFmtId="3" fontId="29" fillId="0" borderId="21" xfId="0" applyNumberFormat="1" applyFont="1" applyFill="1" applyBorder="1" applyAlignment="1">
      <alignment wrapText="1"/>
    </xf>
    <xf numFmtId="3" fontId="29" fillId="0" borderId="23" xfId="0" applyNumberFormat="1" applyFont="1" applyFill="1" applyBorder="1" applyAlignment="1">
      <alignment wrapText="1"/>
    </xf>
    <xf numFmtId="3" fontId="29" fillId="0" borderId="0" xfId="0" applyNumberFormat="1" applyFont="1" applyFill="1" applyAlignment="1">
      <alignment wrapText="1"/>
    </xf>
    <xf numFmtId="3" fontId="29" fillId="0" borderId="24" xfId="0" applyNumberFormat="1" applyFont="1" applyFill="1" applyBorder="1" applyAlignment="1">
      <alignment/>
    </xf>
    <xf numFmtId="0" fontId="29" fillId="0" borderId="25" xfId="0" applyFont="1" applyFill="1" applyBorder="1" applyAlignment="1">
      <alignment/>
    </xf>
    <xf numFmtId="3" fontId="29" fillId="0" borderId="26" xfId="0" applyNumberFormat="1" applyFont="1" applyFill="1" applyBorder="1" applyAlignment="1">
      <alignment/>
    </xf>
    <xf numFmtId="0" fontId="29" fillId="0" borderId="21" xfId="0" applyFont="1" applyFill="1" applyBorder="1" applyAlignment="1">
      <alignment/>
    </xf>
    <xf numFmtId="4" fontId="29" fillId="0" borderId="21" xfId="0" applyNumberFormat="1" applyFont="1" applyFill="1" applyBorder="1" applyAlignment="1">
      <alignment/>
    </xf>
    <xf numFmtId="2" fontId="29" fillId="0" borderId="21" xfId="0" applyNumberFormat="1" applyFont="1" applyFill="1" applyBorder="1" applyAlignment="1">
      <alignment/>
    </xf>
    <xf numFmtId="0" fontId="29" fillId="0" borderId="21" xfId="124" applyFont="1" applyFill="1" applyBorder="1">
      <alignment/>
      <protection/>
    </xf>
    <xf numFmtId="3" fontId="29" fillId="0" borderId="21" xfId="124" applyNumberFormat="1" applyFont="1" applyFill="1" applyBorder="1">
      <alignment/>
      <protection/>
    </xf>
    <xf numFmtId="0" fontId="29" fillId="0" borderId="25" xfId="124" applyFont="1" applyFill="1" applyBorder="1">
      <alignment/>
      <protection/>
    </xf>
    <xf numFmtId="3" fontId="29" fillId="0" borderId="25" xfId="124" applyNumberFormat="1" applyFont="1" applyFill="1" applyBorder="1">
      <alignment/>
      <protection/>
    </xf>
    <xf numFmtId="0" fontId="29" fillId="0" borderId="22" xfId="124" applyFont="1" applyFill="1" applyBorder="1">
      <alignment/>
      <protection/>
    </xf>
    <xf numFmtId="3" fontId="29" fillId="0" borderId="22" xfId="124" applyNumberFormat="1" applyFont="1" applyFill="1" applyBorder="1">
      <alignment/>
      <protection/>
    </xf>
    <xf numFmtId="4" fontId="29" fillId="0" borderId="21" xfId="0" applyNumberFormat="1" applyFont="1" applyFill="1" applyBorder="1" applyAlignment="1">
      <alignment/>
    </xf>
    <xf numFmtId="4" fontId="29" fillId="0" borderId="22" xfId="0" applyNumberFormat="1" applyFont="1" applyFill="1" applyBorder="1" applyAlignment="1">
      <alignment/>
    </xf>
    <xf numFmtId="3" fontId="29" fillId="0" borderId="0" xfId="0" applyNumberFormat="1" applyFont="1" applyFill="1" applyAlignment="1">
      <alignment/>
    </xf>
    <xf numFmtId="0" fontId="4" fillId="0" borderId="0" xfId="0" applyFont="1" applyFill="1" applyBorder="1" applyAlignment="1">
      <alignment/>
    </xf>
    <xf numFmtId="3" fontId="0" fillId="0" borderId="22" xfId="0" applyNumberFormat="1" applyFont="1" applyFill="1" applyBorder="1" applyAlignment="1">
      <alignment horizontal="right"/>
    </xf>
    <xf numFmtId="3" fontId="0" fillId="0" borderId="22" xfId="0" applyNumberFormat="1" applyFont="1" applyFill="1" applyBorder="1" applyAlignment="1">
      <alignment/>
    </xf>
    <xf numFmtId="0" fontId="29" fillId="0" borderId="0" xfId="0" applyFont="1" applyAlignment="1">
      <alignment/>
    </xf>
    <xf numFmtId="0" fontId="29" fillId="0" borderId="0" xfId="0" applyFont="1" applyAlignment="1">
      <alignment horizontal="right"/>
    </xf>
    <xf numFmtId="0" fontId="29" fillId="0" borderId="27" xfId="0" applyFont="1" applyBorder="1" applyAlignment="1">
      <alignment horizontal="center"/>
    </xf>
    <xf numFmtId="0" fontId="29" fillId="0" borderId="28" xfId="0" applyFont="1" applyBorder="1" applyAlignment="1">
      <alignment horizontal="center" wrapText="1"/>
    </xf>
    <xf numFmtId="0" fontId="29" fillId="0" borderId="29" xfId="0" applyFont="1" applyBorder="1" applyAlignment="1">
      <alignment/>
    </xf>
    <xf numFmtId="0" fontId="29" fillId="0" borderId="30" xfId="0" applyFont="1" applyBorder="1" applyAlignment="1">
      <alignment/>
    </xf>
    <xf numFmtId="0" fontId="29" fillId="0" borderId="31" xfId="0" applyFont="1" applyBorder="1" applyAlignment="1">
      <alignment/>
    </xf>
    <xf numFmtId="0" fontId="29" fillId="0" borderId="32" xfId="0" applyFont="1" applyBorder="1" applyAlignment="1">
      <alignment/>
    </xf>
    <xf numFmtId="0" fontId="29" fillId="0" borderId="33" xfId="0" applyFont="1" applyBorder="1" applyAlignment="1">
      <alignment horizontal="center" wrapText="1"/>
    </xf>
    <xf numFmtId="14" fontId="29" fillId="0" borderId="34" xfId="0" applyNumberFormat="1" applyFont="1" applyBorder="1" applyAlignment="1">
      <alignment horizontal="center" wrapText="1"/>
    </xf>
    <xf numFmtId="14" fontId="29" fillId="0" borderId="35" xfId="0" applyNumberFormat="1" applyFont="1" applyBorder="1" applyAlignment="1">
      <alignment horizontal="center" wrapText="1"/>
    </xf>
    <xf numFmtId="0" fontId="29" fillId="0" borderId="35" xfId="0" applyFont="1" applyBorder="1" applyAlignment="1">
      <alignment horizontal="center" wrapText="1"/>
    </xf>
    <xf numFmtId="49" fontId="29" fillId="0" borderId="35" xfId="0" applyNumberFormat="1" applyFont="1" applyBorder="1" applyAlignment="1">
      <alignment horizontal="center"/>
    </xf>
    <xf numFmtId="0" fontId="29" fillId="0" borderId="34" xfId="0" applyFont="1" applyBorder="1" applyAlignment="1">
      <alignment horizontal="center"/>
    </xf>
    <xf numFmtId="0" fontId="29" fillId="0" borderId="32" xfId="0" applyFont="1" applyBorder="1" applyAlignment="1">
      <alignment horizontal="center"/>
    </xf>
    <xf numFmtId="0" fontId="29" fillId="0" borderId="31" xfId="0" applyFont="1" applyBorder="1" applyAlignment="1">
      <alignment horizontal="center"/>
    </xf>
    <xf numFmtId="0" fontId="29" fillId="0" borderId="27" xfId="0" applyFont="1" applyBorder="1" applyAlignment="1">
      <alignment/>
    </xf>
    <xf numFmtId="0" fontId="29" fillId="0" borderId="28" xfId="0" applyFont="1" applyBorder="1" applyAlignment="1">
      <alignment/>
    </xf>
    <xf numFmtId="0" fontId="29" fillId="0" borderId="36" xfId="0" applyFont="1" applyBorder="1" applyAlignment="1">
      <alignment/>
    </xf>
    <xf numFmtId="0" fontId="29" fillId="0" borderId="0" xfId="0" applyFont="1" applyBorder="1" applyAlignment="1">
      <alignment/>
    </xf>
    <xf numFmtId="0" fontId="29" fillId="0" borderId="37" xfId="0" applyFont="1" applyBorder="1" applyAlignment="1">
      <alignment/>
    </xf>
    <xf numFmtId="0" fontId="29" fillId="0" borderId="38" xfId="0" applyFont="1" applyBorder="1" applyAlignment="1">
      <alignment horizontal="left"/>
    </xf>
    <xf numFmtId="171" fontId="29" fillId="0" borderId="37" xfId="0" applyNumberFormat="1" applyFont="1" applyBorder="1" applyAlignment="1">
      <alignment horizontal="right"/>
    </xf>
    <xf numFmtId="171" fontId="29" fillId="0" borderId="39" xfId="0" applyNumberFormat="1" applyFont="1" applyBorder="1" applyAlignment="1">
      <alignment horizontal="right"/>
    </xf>
    <xf numFmtId="171" fontId="29" fillId="0" borderId="0" xfId="0" applyNumberFormat="1" applyFont="1" applyBorder="1" applyAlignment="1">
      <alignment horizontal="right"/>
    </xf>
    <xf numFmtId="0" fontId="29" fillId="0" borderId="38" xfId="0" applyFont="1" applyBorder="1" applyAlignment="1">
      <alignment/>
    </xf>
    <xf numFmtId="171" fontId="29" fillId="0" borderId="37" xfId="0" applyNumberFormat="1" applyFont="1" applyBorder="1" applyAlignment="1">
      <alignment/>
    </xf>
    <xf numFmtId="171" fontId="29" fillId="0" borderId="32" xfId="0" applyNumberFormat="1" applyFont="1" applyBorder="1" applyAlignment="1">
      <alignment/>
    </xf>
    <xf numFmtId="0" fontId="29" fillId="0" borderId="34" xfId="0" applyFont="1" applyBorder="1" applyAlignment="1">
      <alignment/>
    </xf>
    <xf numFmtId="171" fontId="29" fillId="0" borderId="34" xfId="0" applyNumberFormat="1" applyFont="1" applyBorder="1" applyAlignment="1">
      <alignment horizontal="right"/>
    </xf>
    <xf numFmtId="3" fontId="29" fillId="0" borderId="0" xfId="0" applyNumberFormat="1" applyFont="1" applyBorder="1" applyAlignment="1">
      <alignment horizontal="right"/>
    </xf>
    <xf numFmtId="3" fontId="29" fillId="0" borderId="37" xfId="0" applyNumberFormat="1" applyFont="1" applyBorder="1" applyAlignment="1">
      <alignment horizontal="right"/>
    </xf>
    <xf numFmtId="3" fontId="29" fillId="0" borderId="0" xfId="0" applyNumberFormat="1" applyFont="1" applyBorder="1" applyAlignment="1">
      <alignment/>
    </xf>
    <xf numFmtId="3" fontId="0" fillId="0" borderId="22" xfId="0" applyNumberFormat="1" applyFont="1" applyFill="1" applyBorder="1" applyAlignment="1">
      <alignment/>
    </xf>
    <xf numFmtId="0" fontId="29" fillId="0" borderId="0" xfId="0" applyFont="1" applyBorder="1" applyAlignment="1">
      <alignment horizontal="center"/>
    </xf>
    <xf numFmtId="171" fontId="29" fillId="0" borderId="39" xfId="0" applyNumberFormat="1" applyFont="1" applyBorder="1" applyAlignment="1">
      <alignment/>
    </xf>
    <xf numFmtId="171" fontId="29" fillId="0" borderId="0" xfId="0" applyNumberFormat="1" applyFont="1" applyBorder="1" applyAlignment="1">
      <alignment/>
    </xf>
    <xf numFmtId="0" fontId="29" fillId="0" borderId="0" xfId="0" applyFont="1" applyAlignment="1">
      <alignment horizontal="left"/>
    </xf>
    <xf numFmtId="0" fontId="29" fillId="0" borderId="37" xfId="0" applyFont="1" applyBorder="1" applyAlignment="1">
      <alignment horizontal="center"/>
    </xf>
    <xf numFmtId="3" fontId="29" fillId="0" borderId="39" xfId="0" applyNumberFormat="1" applyFont="1" applyBorder="1" applyAlignment="1">
      <alignment/>
    </xf>
    <xf numFmtId="3" fontId="29" fillId="0" borderId="37" xfId="0" applyNumberFormat="1" applyFont="1" applyBorder="1" applyAlignment="1">
      <alignment/>
    </xf>
    <xf numFmtId="3" fontId="29" fillId="0" borderId="39" xfId="0" applyNumberFormat="1" applyFont="1" applyBorder="1" applyAlignment="1">
      <alignment horizontal="right"/>
    </xf>
    <xf numFmtId="3" fontId="47" fillId="0" borderId="37" xfId="0" applyNumberFormat="1" applyFont="1" applyBorder="1" applyAlignment="1">
      <alignment horizontal="right"/>
    </xf>
    <xf numFmtId="0" fontId="29" fillId="0" borderId="39" xfId="0" applyFont="1" applyBorder="1" applyAlignment="1">
      <alignment/>
    </xf>
    <xf numFmtId="3" fontId="29" fillId="0" borderId="34" xfId="0" applyNumberFormat="1" applyFont="1" applyBorder="1" applyAlignment="1">
      <alignment horizontal="right"/>
    </xf>
    <xf numFmtId="0" fontId="29" fillId="0" borderId="0" xfId="0" applyFont="1" applyBorder="1" applyAlignment="1">
      <alignment horizontal="left"/>
    </xf>
    <xf numFmtId="0" fontId="29" fillId="0" borderId="0" xfId="0" applyFont="1" applyFill="1" applyBorder="1" applyAlignment="1">
      <alignment horizontal="left"/>
    </xf>
    <xf numFmtId="0" fontId="29" fillId="0" borderId="28" xfId="0" applyFont="1" applyBorder="1" applyAlignment="1">
      <alignment horizontal="center"/>
    </xf>
    <xf numFmtId="0" fontId="29" fillId="0" borderId="36" xfId="0" applyFont="1" applyBorder="1" applyAlignment="1">
      <alignment horizontal="center"/>
    </xf>
    <xf numFmtId="0" fontId="29" fillId="0" borderId="33" xfId="0" applyFont="1" applyBorder="1" applyAlignment="1">
      <alignment horizontal="center"/>
    </xf>
    <xf numFmtId="0" fontId="29" fillId="0" borderId="35" xfId="0" applyFont="1" applyBorder="1" applyAlignment="1">
      <alignment horizontal="center"/>
    </xf>
    <xf numFmtId="0" fontId="29" fillId="0" borderId="38" xfId="0" applyFont="1" applyBorder="1" applyAlignment="1">
      <alignment horizontal="center"/>
    </xf>
    <xf numFmtId="3" fontId="29" fillId="0" borderId="37" xfId="0" applyNumberFormat="1" applyFont="1" applyBorder="1" applyAlignment="1">
      <alignment/>
    </xf>
    <xf numFmtId="3" fontId="29" fillId="0" borderId="37" xfId="0" applyNumberFormat="1" applyFont="1" applyBorder="1" applyAlignment="1">
      <alignment wrapText="1"/>
    </xf>
    <xf numFmtId="0" fontId="29" fillId="0" borderId="37" xfId="0" applyFont="1" applyBorder="1" applyAlignment="1">
      <alignment/>
    </xf>
    <xf numFmtId="0" fontId="29" fillId="0" borderId="29" xfId="0" applyFont="1" applyBorder="1" applyAlignment="1">
      <alignment horizontal="center"/>
    </xf>
    <xf numFmtId="3" fontId="29" fillId="0" borderId="34" xfId="0" applyNumberFormat="1" applyFont="1" applyBorder="1" applyAlignment="1">
      <alignment/>
    </xf>
    <xf numFmtId="3" fontId="29" fillId="0" borderId="31" xfId="0" applyNumberFormat="1" applyFont="1" applyBorder="1" applyAlignment="1">
      <alignment horizontal="right"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2" fontId="48" fillId="0" borderId="0" xfId="0" applyNumberFormat="1" applyFont="1" applyAlignment="1">
      <alignment/>
    </xf>
    <xf numFmtId="3" fontId="0" fillId="0" borderId="0" xfId="0" applyNumberFormat="1" applyFill="1" applyAlignment="1">
      <alignment/>
    </xf>
    <xf numFmtId="0" fontId="0" fillId="0" borderId="20" xfId="0" applyFont="1" applyBorder="1" applyAlignment="1">
      <alignment horizontal="center" vertical="center"/>
    </xf>
    <xf numFmtId="49" fontId="0" fillId="0" borderId="20" xfId="0" applyNumberFormat="1" applyFont="1" applyFill="1" applyBorder="1" applyAlignment="1">
      <alignment horizontal="center" vertical="center" wrapText="1"/>
    </xf>
    <xf numFmtId="49" fontId="0" fillId="55" borderId="20" xfId="0" applyNumberFormat="1" applyFont="1" applyFill="1" applyBorder="1" applyAlignment="1">
      <alignment horizontal="center" vertical="center" wrapText="1"/>
    </xf>
    <xf numFmtId="49" fontId="0" fillId="0" borderId="20" xfId="0" applyNumberFormat="1" applyFont="1" applyFill="1" applyBorder="1" applyAlignment="1">
      <alignment horizontal="center" vertical="center" wrapText="1"/>
    </xf>
    <xf numFmtId="49" fontId="0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55" borderId="20" xfId="0" applyFont="1" applyFill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40" xfId="0" applyBorder="1" applyAlignment="1">
      <alignment/>
    </xf>
    <xf numFmtId="3" fontId="0" fillId="0" borderId="40" xfId="0" applyNumberFormat="1" applyFill="1" applyBorder="1" applyAlignment="1">
      <alignment/>
    </xf>
    <xf numFmtId="3" fontId="0" fillId="55" borderId="40" xfId="0" applyNumberFormat="1" applyFont="1" applyFill="1" applyBorder="1" applyAlignment="1">
      <alignment/>
    </xf>
    <xf numFmtId="4" fontId="0" fillId="0" borderId="40" xfId="0" applyNumberFormat="1" applyBorder="1" applyAlignment="1">
      <alignment/>
    </xf>
    <xf numFmtId="4" fontId="0" fillId="0" borderId="2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23" xfId="0" applyBorder="1" applyAlignment="1">
      <alignment/>
    </xf>
    <xf numFmtId="3" fontId="0" fillId="0" borderId="23" xfId="0" applyNumberFormat="1" applyFill="1" applyBorder="1" applyAlignment="1">
      <alignment/>
    </xf>
    <xf numFmtId="3" fontId="0" fillId="0" borderId="23" xfId="0" applyNumberFormat="1" applyFont="1" applyBorder="1" applyAlignment="1">
      <alignment/>
    </xf>
    <xf numFmtId="4" fontId="0" fillId="0" borderId="23" xfId="0" applyNumberFormat="1" applyBorder="1" applyAlignment="1">
      <alignment/>
    </xf>
    <xf numFmtId="4" fontId="0" fillId="0" borderId="21" xfId="0" applyNumberFormat="1" applyBorder="1" applyAlignment="1">
      <alignment/>
    </xf>
    <xf numFmtId="3" fontId="0" fillId="0" borderId="23" xfId="0" applyNumberFormat="1" applyFont="1" applyFill="1" applyBorder="1" applyAlignment="1">
      <alignment/>
    </xf>
    <xf numFmtId="0" fontId="0" fillId="0" borderId="23" xfId="0" applyBorder="1" applyAlignment="1">
      <alignment wrapText="1" shrinkToFit="1"/>
    </xf>
    <xf numFmtId="0" fontId="0" fillId="0" borderId="23" xfId="0" applyBorder="1" applyAlignment="1">
      <alignment wrapText="1"/>
    </xf>
    <xf numFmtId="3" fontId="0" fillId="0" borderId="0" xfId="0" applyNumberFormat="1" applyBorder="1" applyAlignment="1">
      <alignment/>
    </xf>
    <xf numFmtId="3" fontId="0" fillId="0" borderId="23" xfId="0" applyNumberFormat="1" applyBorder="1" applyAlignment="1">
      <alignment horizontal="center"/>
    </xf>
    <xf numFmtId="3" fontId="0" fillId="0" borderId="21" xfId="0" applyNumberFormat="1" applyBorder="1" applyAlignment="1">
      <alignment horizontal="center"/>
    </xf>
    <xf numFmtId="0" fontId="0" fillId="56" borderId="23" xfId="0" applyFont="1" applyFill="1" applyBorder="1" applyAlignment="1">
      <alignment wrapText="1"/>
    </xf>
    <xf numFmtId="3" fontId="0" fillId="0" borderId="23" xfId="0" applyNumberFormat="1" applyFont="1" applyBorder="1" applyAlignment="1">
      <alignment/>
    </xf>
    <xf numFmtId="0" fontId="0" fillId="0" borderId="41" xfId="0" applyBorder="1" applyAlignment="1">
      <alignment/>
    </xf>
    <xf numFmtId="3" fontId="0" fillId="0" borderId="41" xfId="0" applyNumberFormat="1" applyFill="1" applyBorder="1" applyAlignment="1">
      <alignment/>
    </xf>
    <xf numFmtId="3" fontId="0" fillId="0" borderId="41" xfId="0" applyNumberFormat="1" applyFont="1" applyBorder="1" applyAlignment="1">
      <alignment/>
    </xf>
    <xf numFmtId="4" fontId="0" fillId="0" borderId="41" xfId="0" applyNumberFormat="1" applyBorder="1" applyAlignment="1">
      <alignment/>
    </xf>
    <xf numFmtId="4" fontId="0" fillId="0" borderId="42" xfId="0" applyNumberFormat="1" applyBorder="1" applyAlignment="1">
      <alignment/>
    </xf>
    <xf numFmtId="0" fontId="0" fillId="0" borderId="43" xfId="0" applyBorder="1" applyAlignment="1">
      <alignment horizontal="right"/>
    </xf>
    <xf numFmtId="3" fontId="0" fillId="0" borderId="44" xfId="0" applyNumberFormat="1" applyFill="1" applyBorder="1" applyAlignment="1">
      <alignment horizontal="center"/>
    </xf>
    <xf numFmtId="3" fontId="48" fillId="0" borderId="44" xfId="0" applyNumberFormat="1" applyFont="1" applyFill="1" applyBorder="1" applyAlignment="1">
      <alignment horizontal="right"/>
    </xf>
    <xf numFmtId="3" fontId="0" fillId="0" borderId="44" xfId="0" applyNumberFormat="1" applyBorder="1" applyAlignment="1">
      <alignment horizontal="center"/>
    </xf>
    <xf numFmtId="3" fontId="0" fillId="0" borderId="45" xfId="0" applyNumberFormat="1" applyBorder="1" applyAlignment="1">
      <alignment horizontal="center"/>
    </xf>
    <xf numFmtId="0" fontId="0" fillId="56" borderId="28" xfId="0" applyFont="1" applyFill="1" applyBorder="1" applyAlignment="1">
      <alignment horizontal="left" wrapText="1"/>
    </xf>
    <xf numFmtId="3" fontId="0" fillId="0" borderId="46" xfId="0" applyNumberFormat="1" applyFill="1" applyBorder="1" applyAlignment="1">
      <alignment horizontal="center"/>
    </xf>
    <xf numFmtId="3" fontId="0" fillId="0" borderId="46" xfId="0" applyNumberFormat="1" applyFont="1" applyBorder="1" applyAlignment="1">
      <alignment/>
    </xf>
    <xf numFmtId="3" fontId="0" fillId="0" borderId="46" xfId="0" applyNumberFormat="1" applyBorder="1" applyAlignment="1">
      <alignment horizontal="center"/>
    </xf>
    <xf numFmtId="3" fontId="0" fillId="0" borderId="36" xfId="0" applyNumberFormat="1" applyBorder="1" applyAlignment="1">
      <alignment horizontal="center"/>
    </xf>
    <xf numFmtId="0" fontId="0" fillId="56" borderId="38" xfId="0" applyFont="1" applyFill="1" applyBorder="1" applyAlignment="1">
      <alignment horizontal="right" wrapText="1"/>
    </xf>
    <xf numFmtId="3" fontId="0" fillId="0" borderId="0" xfId="0" applyNumberFormat="1" applyFill="1" applyBorder="1" applyAlignment="1">
      <alignment horizontal="center"/>
    </xf>
    <xf numFmtId="3" fontId="0" fillId="0" borderId="0" xfId="0" applyNumberFormat="1" applyFont="1" applyBorder="1" applyAlignment="1">
      <alignment/>
    </xf>
    <xf numFmtId="3" fontId="0" fillId="0" borderId="0" xfId="0" applyNumberFormat="1" applyBorder="1" applyAlignment="1">
      <alignment horizontal="center"/>
    </xf>
    <xf numFmtId="3" fontId="0" fillId="0" borderId="39" xfId="0" applyNumberFormat="1" applyBorder="1" applyAlignment="1">
      <alignment horizontal="center"/>
    </xf>
    <xf numFmtId="3" fontId="48" fillId="0" borderId="0" xfId="0" applyNumberFormat="1" applyFont="1" applyBorder="1" applyAlignment="1">
      <alignment/>
    </xf>
    <xf numFmtId="0" fontId="0" fillId="56" borderId="33" xfId="0" applyFont="1" applyFill="1" applyBorder="1" applyAlignment="1">
      <alignment horizontal="right" wrapText="1"/>
    </xf>
    <xf numFmtId="3" fontId="0" fillId="0" borderId="47" xfId="0" applyNumberFormat="1" applyFill="1" applyBorder="1" applyAlignment="1">
      <alignment horizontal="center"/>
    </xf>
    <xf numFmtId="3" fontId="48" fillId="0" borderId="47" xfId="0" applyNumberFormat="1" applyFont="1" applyBorder="1" applyAlignment="1">
      <alignment/>
    </xf>
    <xf numFmtId="3" fontId="0" fillId="0" borderId="47" xfId="0" applyNumberFormat="1" applyBorder="1" applyAlignment="1">
      <alignment horizontal="center"/>
    </xf>
    <xf numFmtId="3" fontId="0" fillId="0" borderId="35" xfId="0" applyNumberFormat="1" applyBorder="1" applyAlignment="1">
      <alignment horizontal="center"/>
    </xf>
    <xf numFmtId="0" fontId="2" fillId="0" borderId="0" xfId="0" applyFont="1" applyFill="1" applyBorder="1" applyAlignment="1">
      <alignment/>
    </xf>
    <xf numFmtId="14" fontId="7" fillId="0" borderId="0" xfId="0" applyNumberFormat="1" applyFont="1" applyBorder="1" applyAlignment="1">
      <alignment horizontal="left"/>
    </xf>
    <xf numFmtId="0" fontId="0" fillId="0" borderId="22" xfId="0" applyFont="1" applyBorder="1" applyAlignment="1">
      <alignment horizontal="center" vertical="center"/>
    </xf>
    <xf numFmtId="0" fontId="0" fillId="0" borderId="25" xfId="0" applyBorder="1" applyAlignment="1">
      <alignment wrapText="1"/>
    </xf>
    <xf numFmtId="3" fontId="0" fillId="55" borderId="25" xfId="0" applyNumberFormat="1" applyFont="1" applyFill="1" applyBorder="1" applyAlignment="1">
      <alignment/>
    </xf>
    <xf numFmtId="3" fontId="0" fillId="0" borderId="25" xfId="0" applyNumberFormat="1" applyFont="1" applyFill="1" applyBorder="1" applyAlignment="1">
      <alignment/>
    </xf>
    <xf numFmtId="3" fontId="0" fillId="0" borderId="25" xfId="0" applyNumberFormat="1" applyFont="1" applyBorder="1" applyAlignment="1">
      <alignment/>
    </xf>
    <xf numFmtId="3" fontId="0" fillId="0" borderId="0" xfId="0" applyNumberFormat="1" applyAlignment="1">
      <alignment/>
    </xf>
    <xf numFmtId="14" fontId="29" fillId="0" borderId="0" xfId="120" applyNumberFormat="1" applyFont="1" applyFill="1">
      <alignment/>
      <protection/>
    </xf>
    <xf numFmtId="0" fontId="29" fillId="0" borderId="0" xfId="120" applyFont="1" applyFill="1" applyBorder="1" applyAlignment="1">
      <alignment horizontal="left"/>
      <protection/>
    </xf>
    <xf numFmtId="0" fontId="29" fillId="0" borderId="0" xfId="120" applyFont="1" applyFill="1" applyBorder="1">
      <alignment/>
      <protection/>
    </xf>
    <xf numFmtId="0" fontId="30" fillId="0" borderId="0" xfId="120" applyFont="1" applyFill="1" applyBorder="1">
      <alignment/>
      <protection/>
    </xf>
    <xf numFmtId="0" fontId="29" fillId="0" borderId="0" xfId="120" applyFont="1" applyFill="1" applyBorder="1" applyAlignment="1">
      <alignment horizontal="right"/>
      <protection/>
    </xf>
    <xf numFmtId="0" fontId="29" fillId="0" borderId="20" xfId="120" applyFont="1" applyFill="1" applyBorder="1" applyAlignment="1">
      <alignment horizontal="center"/>
      <protection/>
    </xf>
    <xf numFmtId="172" fontId="29" fillId="0" borderId="22" xfId="71" applyNumberFormat="1" applyFont="1" applyFill="1" applyBorder="1" applyAlignment="1">
      <alignment horizontal="center" wrapText="1"/>
    </xf>
    <xf numFmtId="0" fontId="29" fillId="0" borderId="22" xfId="120" applyFont="1" applyFill="1" applyBorder="1" applyAlignment="1">
      <alignment horizontal="center"/>
      <protection/>
    </xf>
    <xf numFmtId="0" fontId="30" fillId="0" borderId="22" xfId="120" applyFont="1" applyFill="1" applyBorder="1" applyAlignment="1">
      <alignment horizontal="center"/>
      <protection/>
    </xf>
    <xf numFmtId="0" fontId="29" fillId="0" borderId="22" xfId="117" applyFont="1" applyFill="1" applyBorder="1" applyAlignment="1">
      <alignment horizontal="center"/>
      <protection/>
    </xf>
    <xf numFmtId="0" fontId="29" fillId="0" borderId="21" xfId="120" applyFont="1" applyFill="1" applyBorder="1" applyAlignment="1">
      <alignment horizontal="left"/>
      <protection/>
    </xf>
    <xf numFmtId="0" fontId="29" fillId="0" borderId="21" xfId="120" applyFont="1" applyFill="1" applyBorder="1" applyAlignment="1">
      <alignment horizontal="center"/>
      <protection/>
    </xf>
    <xf numFmtId="0" fontId="30" fillId="0" borderId="21" xfId="120" applyFont="1" applyFill="1" applyBorder="1" applyAlignment="1">
      <alignment horizontal="center"/>
      <protection/>
    </xf>
    <xf numFmtId="0" fontId="29" fillId="0" borderId="21" xfId="120" applyFont="1" applyFill="1" applyBorder="1">
      <alignment/>
      <protection/>
    </xf>
    <xf numFmtId="0" fontId="29" fillId="0" borderId="20" xfId="120" applyFont="1" applyFill="1" applyBorder="1">
      <alignment/>
      <protection/>
    </xf>
    <xf numFmtId="3" fontId="29" fillId="0" borderId="21" xfId="120" applyNumberFormat="1" applyFont="1" applyFill="1" applyBorder="1">
      <alignment/>
      <protection/>
    </xf>
    <xf numFmtId="2" fontId="29" fillId="0" borderId="21" xfId="120" applyNumberFormat="1" applyFont="1" applyFill="1" applyBorder="1">
      <alignment/>
      <protection/>
    </xf>
    <xf numFmtId="3" fontId="29" fillId="0" borderId="24" xfId="120" applyNumberFormat="1" applyFont="1" applyFill="1" applyBorder="1">
      <alignment/>
      <protection/>
    </xf>
    <xf numFmtId="3" fontId="29" fillId="0" borderId="25" xfId="120" applyNumberFormat="1" applyFont="1" applyFill="1" applyBorder="1">
      <alignment/>
      <protection/>
    </xf>
    <xf numFmtId="2" fontId="29" fillId="0" borderId="25" xfId="120" applyNumberFormat="1" applyFont="1" applyFill="1" applyBorder="1">
      <alignment/>
      <protection/>
    </xf>
    <xf numFmtId="0" fontId="29" fillId="0" borderId="25" xfId="120" applyFont="1" applyFill="1" applyBorder="1">
      <alignment/>
      <protection/>
    </xf>
    <xf numFmtId="3" fontId="29" fillId="0" borderId="20" xfId="120" applyNumberFormat="1" applyFont="1" applyFill="1" applyBorder="1">
      <alignment/>
      <protection/>
    </xf>
    <xf numFmtId="0" fontId="29" fillId="0" borderId="20" xfId="117" applyFont="1" applyFill="1" applyBorder="1">
      <alignment/>
      <protection/>
    </xf>
    <xf numFmtId="0" fontId="30" fillId="0" borderId="20" xfId="117" applyFont="1" applyFill="1" applyBorder="1">
      <alignment/>
      <protection/>
    </xf>
    <xf numFmtId="2" fontId="29" fillId="0" borderId="20" xfId="120" applyNumberFormat="1" applyFont="1" applyFill="1" applyBorder="1">
      <alignment/>
      <protection/>
    </xf>
    <xf numFmtId="0" fontId="29" fillId="0" borderId="21" xfId="117" applyFont="1" applyFill="1" applyBorder="1">
      <alignment/>
      <protection/>
    </xf>
    <xf numFmtId="3" fontId="29" fillId="0" borderId="21" xfId="117" applyNumberFormat="1" applyFont="1" applyFill="1" applyBorder="1">
      <alignment/>
      <protection/>
    </xf>
    <xf numFmtId="3" fontId="29" fillId="0" borderId="25" xfId="117" applyNumberFormat="1" applyFont="1" applyFill="1" applyBorder="1">
      <alignment/>
      <protection/>
    </xf>
    <xf numFmtId="0" fontId="29" fillId="0" borderId="0" xfId="116" applyFont="1" applyFill="1">
      <alignment/>
      <protection/>
    </xf>
    <xf numFmtId="0" fontId="53" fillId="0" borderId="0" xfId="110" applyFont="1" applyAlignment="1">
      <alignment horizontal="centerContinuous"/>
      <protection/>
    </xf>
    <xf numFmtId="0" fontId="54" fillId="0" borderId="0" xfId="110" applyFont="1" applyAlignment="1">
      <alignment horizontal="centerContinuous"/>
      <protection/>
    </xf>
    <xf numFmtId="0" fontId="54" fillId="0" borderId="0" xfId="110" applyFont="1" applyAlignment="1">
      <alignment/>
      <protection/>
    </xf>
    <xf numFmtId="0" fontId="3" fillId="0" borderId="0" xfId="110">
      <alignment/>
      <protection/>
    </xf>
    <xf numFmtId="0" fontId="3" fillId="0" borderId="0" xfId="110" applyFont="1" applyAlignment="1">
      <alignment horizontal="right"/>
      <protection/>
    </xf>
    <xf numFmtId="0" fontId="17" fillId="0" borderId="0" xfId="110" applyFont="1" applyAlignment="1">
      <alignment horizontal="right"/>
      <protection/>
    </xf>
    <xf numFmtId="0" fontId="55" fillId="0" borderId="0" xfId="110" applyFont="1" applyAlignment="1">
      <alignment horizontal="right"/>
      <protection/>
    </xf>
    <xf numFmtId="0" fontId="15" fillId="0" borderId="27" xfId="110" applyFont="1" applyBorder="1" applyAlignment="1">
      <alignment horizontal="center"/>
      <protection/>
    </xf>
    <xf numFmtId="0" fontId="56" fillId="0" borderId="48" xfId="110" applyFont="1" applyBorder="1" applyAlignment="1">
      <alignment horizontal="centerContinuous"/>
      <protection/>
    </xf>
    <xf numFmtId="0" fontId="15" fillId="0" borderId="48" xfId="110" applyFont="1" applyBorder="1" applyAlignment="1">
      <alignment horizontal="centerContinuous"/>
      <protection/>
    </xf>
    <xf numFmtId="0" fontId="17" fillId="0" borderId="48" xfId="110" applyFont="1" applyBorder="1" applyAlignment="1">
      <alignment horizontal="centerContinuous"/>
      <protection/>
    </xf>
    <xf numFmtId="0" fontId="15" fillId="0" borderId="49" xfId="110" applyFont="1" applyBorder="1" applyAlignment="1">
      <alignment horizontal="centerContinuous"/>
      <protection/>
    </xf>
    <xf numFmtId="0" fontId="17" fillId="0" borderId="37" xfId="110" applyFont="1" applyBorder="1">
      <alignment/>
      <protection/>
    </xf>
    <xf numFmtId="0" fontId="15" fillId="0" borderId="37" xfId="110" applyFont="1" applyBorder="1" applyAlignment="1">
      <alignment horizontal="center"/>
      <protection/>
    </xf>
    <xf numFmtId="0" fontId="15" fillId="0" borderId="50" xfId="110" applyFont="1" applyBorder="1" applyAlignment="1">
      <alignment horizontal="centerContinuous"/>
      <protection/>
    </xf>
    <xf numFmtId="0" fontId="15" fillId="0" borderId="51" xfId="110" applyFont="1" applyBorder="1" applyAlignment="1">
      <alignment horizontal="centerContinuous"/>
      <protection/>
    </xf>
    <xf numFmtId="0" fontId="15" fillId="0" borderId="52" xfId="110" applyFont="1" applyBorder="1" applyAlignment="1">
      <alignment horizontal="centerContinuous"/>
      <protection/>
    </xf>
    <xf numFmtId="0" fontId="55" fillId="0" borderId="38" xfId="110" applyFont="1" applyBorder="1" applyAlignment="1">
      <alignment horizontal="center"/>
      <protection/>
    </xf>
    <xf numFmtId="0" fontId="55" fillId="0" borderId="20" xfId="110" applyFont="1" applyBorder="1" applyAlignment="1">
      <alignment horizontal="center"/>
      <protection/>
    </xf>
    <xf numFmtId="0" fontId="55" fillId="0" borderId="53" xfId="110" applyFont="1" applyBorder="1" applyAlignment="1">
      <alignment horizontal="center"/>
      <protection/>
    </xf>
    <xf numFmtId="0" fontId="17" fillId="0" borderId="39" xfId="110" applyFont="1" applyBorder="1" applyAlignment="1">
      <alignment horizontal="center"/>
      <protection/>
    </xf>
    <xf numFmtId="0" fontId="3" fillId="0" borderId="34" xfId="110" applyFont="1" applyBorder="1" applyAlignment="1">
      <alignment horizontal="center"/>
      <protection/>
    </xf>
    <xf numFmtId="0" fontId="3" fillId="0" borderId="29" xfId="110" applyFont="1" applyBorder="1" applyAlignment="1">
      <alignment horizontal="center"/>
      <protection/>
    </xf>
    <xf numFmtId="0" fontId="3" fillId="0" borderId="54" xfId="110" applyFont="1" applyBorder="1" applyAlignment="1">
      <alignment horizontal="center"/>
      <protection/>
    </xf>
    <xf numFmtId="0" fontId="3" fillId="0" borderId="31" xfId="110" applyFont="1" applyBorder="1" applyAlignment="1">
      <alignment horizontal="center"/>
      <protection/>
    </xf>
    <xf numFmtId="0" fontId="55" fillId="0" borderId="37" xfId="110" applyFont="1" applyBorder="1">
      <alignment/>
      <protection/>
    </xf>
    <xf numFmtId="164" fontId="57" fillId="0" borderId="37" xfId="110" applyNumberFormat="1" applyFont="1" applyBorder="1">
      <alignment/>
      <protection/>
    </xf>
    <xf numFmtId="164" fontId="55" fillId="0" borderId="38" xfId="110" applyNumberFormat="1" applyFont="1" applyBorder="1">
      <alignment/>
      <protection/>
    </xf>
    <xf numFmtId="164" fontId="55" fillId="0" borderId="21" xfId="110" applyNumberFormat="1" applyFont="1" applyBorder="1">
      <alignment/>
      <protection/>
    </xf>
    <xf numFmtId="164" fontId="55" fillId="0" borderId="39" xfId="110" applyNumberFormat="1" applyFont="1" applyBorder="1">
      <alignment/>
      <protection/>
    </xf>
    <xf numFmtId="0" fontId="55" fillId="0" borderId="32" xfId="110" applyFont="1" applyBorder="1">
      <alignment/>
      <protection/>
    </xf>
    <xf numFmtId="164" fontId="55" fillId="0" borderId="32" xfId="110" applyNumberFormat="1" applyFont="1" applyBorder="1">
      <alignment/>
      <protection/>
    </xf>
    <xf numFmtId="164" fontId="55" fillId="0" borderId="33" xfId="110" applyNumberFormat="1" applyFont="1" applyBorder="1">
      <alignment/>
      <protection/>
    </xf>
    <xf numFmtId="164" fontId="55" fillId="0" borderId="42" xfId="110" applyNumberFormat="1" applyFont="1" applyBorder="1">
      <alignment/>
      <protection/>
    </xf>
    <xf numFmtId="164" fontId="55" fillId="0" borderId="35" xfId="110" applyNumberFormat="1" applyFont="1" applyBorder="1">
      <alignment/>
      <protection/>
    </xf>
    <xf numFmtId="0" fontId="17" fillId="0" borderId="38" xfId="110" applyFont="1" applyBorder="1" applyAlignment="1">
      <alignment horizontal="center"/>
      <protection/>
    </xf>
    <xf numFmtId="0" fontId="17" fillId="0" borderId="20" xfId="110" applyFont="1" applyBorder="1" applyAlignment="1">
      <alignment horizontal="center"/>
      <protection/>
    </xf>
    <xf numFmtId="0" fontId="3" fillId="0" borderId="0" xfId="110" applyFont="1">
      <alignment/>
      <protection/>
    </xf>
    <xf numFmtId="0" fontId="0" fillId="0" borderId="0" xfId="111" applyFill="1">
      <alignment/>
      <protection/>
    </xf>
    <xf numFmtId="0" fontId="58" fillId="0" borderId="0" xfId="111" applyFont="1" applyFill="1">
      <alignment/>
      <protection/>
    </xf>
    <xf numFmtId="0" fontId="49" fillId="0" borderId="0" xfId="0" applyFont="1" applyFill="1" applyAlignment="1">
      <alignment horizontal="centerContinuous"/>
    </xf>
    <xf numFmtId="0" fontId="0" fillId="0" borderId="0" xfId="0" applyFont="1" applyFill="1" applyAlignment="1">
      <alignment horizontal="centerContinuous"/>
    </xf>
    <xf numFmtId="0" fontId="59" fillId="0" borderId="0" xfId="0" applyFont="1" applyFill="1" applyAlignment="1">
      <alignment/>
    </xf>
    <xf numFmtId="178" fontId="48" fillId="0" borderId="0" xfId="111" applyNumberFormat="1" applyFont="1" applyFill="1" applyBorder="1">
      <alignment/>
      <protection/>
    </xf>
    <xf numFmtId="0" fontId="0" fillId="0" borderId="0" xfId="111" applyFont="1" applyFill="1">
      <alignment/>
      <protection/>
    </xf>
    <xf numFmtId="0" fontId="0" fillId="0" borderId="0" xfId="0" applyFill="1" applyAlignment="1">
      <alignment horizontal="right"/>
    </xf>
    <xf numFmtId="49" fontId="51" fillId="0" borderId="34" xfId="0" applyNumberFormat="1" applyFont="1" applyFill="1" applyBorder="1" applyAlignment="1">
      <alignment horizontal="left"/>
    </xf>
    <xf numFmtId="49" fontId="51" fillId="0" borderId="55" xfId="111" applyNumberFormat="1" applyFont="1" applyFill="1" applyBorder="1" applyAlignment="1">
      <alignment horizontal="center"/>
      <protection/>
    </xf>
    <xf numFmtId="49" fontId="51" fillId="0" borderId="54" xfId="111" applyNumberFormat="1" applyFont="1" applyFill="1" applyBorder="1" applyAlignment="1">
      <alignment horizontal="center"/>
      <protection/>
    </xf>
    <xf numFmtId="49" fontId="51" fillId="0" borderId="56" xfId="111" applyNumberFormat="1" applyFont="1" applyFill="1" applyBorder="1" applyAlignment="1">
      <alignment horizontal="center"/>
      <protection/>
    </xf>
    <xf numFmtId="49" fontId="51" fillId="0" borderId="34" xfId="111" applyNumberFormat="1" applyFont="1" applyFill="1" applyBorder="1" applyAlignment="1">
      <alignment horizontal="center"/>
      <protection/>
    </xf>
    <xf numFmtId="49" fontId="48" fillId="0" borderId="27" xfId="111" applyNumberFormat="1" applyFont="1" applyFill="1" applyBorder="1" applyAlignment="1">
      <alignment horizontal="left"/>
      <protection/>
    </xf>
    <xf numFmtId="178" fontId="48" fillId="0" borderId="57" xfId="111" applyNumberFormat="1" applyFont="1" applyFill="1" applyBorder="1">
      <alignment/>
      <protection/>
    </xf>
    <xf numFmtId="178" fontId="48" fillId="0" borderId="21" xfId="111" applyNumberFormat="1" applyFont="1" applyFill="1" applyBorder="1">
      <alignment/>
      <protection/>
    </xf>
    <xf numFmtId="178" fontId="48" fillId="0" borderId="58" xfId="111" applyNumberFormat="1" applyFont="1" applyFill="1" applyBorder="1">
      <alignment/>
      <protection/>
    </xf>
    <xf numFmtId="178" fontId="48" fillId="0" borderId="37" xfId="111" applyNumberFormat="1" applyFont="1" applyFill="1" applyBorder="1">
      <alignment/>
      <protection/>
    </xf>
    <xf numFmtId="49" fontId="0" fillId="0" borderId="37" xfId="111" applyNumberFormat="1" applyFont="1" applyFill="1" applyBorder="1" applyAlignment="1">
      <alignment horizontal="left"/>
      <protection/>
    </xf>
    <xf numFmtId="178" fontId="0" fillId="0" borderId="57" xfId="111" applyNumberFormat="1" applyFont="1" applyFill="1" applyBorder="1">
      <alignment/>
      <protection/>
    </xf>
    <xf numFmtId="178" fontId="0" fillId="0" borderId="21" xfId="111" applyNumberFormat="1" applyFont="1" applyFill="1" applyBorder="1">
      <alignment/>
      <protection/>
    </xf>
    <xf numFmtId="178" fontId="0" fillId="0" borderId="58" xfId="111" applyNumberFormat="1" applyFont="1" applyFill="1" applyBorder="1">
      <alignment/>
      <protection/>
    </xf>
    <xf numFmtId="178" fontId="0" fillId="0" borderId="37" xfId="111" applyNumberFormat="1" applyFont="1" applyFill="1" applyBorder="1">
      <alignment/>
      <protection/>
    </xf>
    <xf numFmtId="49" fontId="0" fillId="0" borderId="37" xfId="111" applyNumberFormat="1" applyFont="1" applyFill="1" applyBorder="1" applyAlignment="1">
      <alignment horizontal="left"/>
      <protection/>
    </xf>
    <xf numFmtId="3" fontId="48" fillId="0" borderId="37" xfId="111" applyNumberFormat="1" applyFont="1" applyFill="1" applyBorder="1">
      <alignment/>
      <protection/>
    </xf>
    <xf numFmtId="179" fontId="0" fillId="0" borderId="57" xfId="111" applyNumberFormat="1" applyFont="1" applyFill="1" applyBorder="1">
      <alignment/>
      <protection/>
    </xf>
    <xf numFmtId="179" fontId="0" fillId="0" borderId="21" xfId="111" applyNumberFormat="1" applyFont="1" applyFill="1" applyBorder="1">
      <alignment/>
      <protection/>
    </xf>
    <xf numFmtId="179" fontId="0" fillId="0" borderId="58" xfId="111" applyNumberFormat="1" applyFont="1" applyFill="1" applyBorder="1">
      <alignment/>
      <protection/>
    </xf>
    <xf numFmtId="179" fontId="0" fillId="0" borderId="37" xfId="111" applyNumberFormat="1" applyFont="1" applyFill="1" applyBorder="1">
      <alignment/>
      <protection/>
    </xf>
    <xf numFmtId="49" fontId="48" fillId="0" borderId="59" xfId="111" applyNumberFormat="1" applyFont="1" applyFill="1" applyBorder="1" applyAlignment="1">
      <alignment horizontal="left"/>
      <protection/>
    </xf>
    <xf numFmtId="178" fontId="0" fillId="0" borderId="60" xfId="111" applyNumberFormat="1" applyFont="1" applyFill="1" applyBorder="1">
      <alignment/>
      <protection/>
    </xf>
    <xf numFmtId="178" fontId="0" fillId="0" borderId="20" xfId="111" applyNumberFormat="1" applyFont="1" applyFill="1" applyBorder="1">
      <alignment/>
      <protection/>
    </xf>
    <xf numFmtId="178" fontId="0" fillId="0" borderId="61" xfId="111" applyNumberFormat="1" applyFont="1" applyFill="1" applyBorder="1">
      <alignment/>
      <protection/>
    </xf>
    <xf numFmtId="178" fontId="0" fillId="0" borderId="59" xfId="111" applyNumberFormat="1" applyFont="1" applyFill="1" applyBorder="1">
      <alignment/>
      <protection/>
    </xf>
    <xf numFmtId="49" fontId="0" fillId="0" borderId="32" xfId="111" applyNumberFormat="1" applyFont="1" applyFill="1" applyBorder="1" applyAlignment="1">
      <alignment horizontal="left"/>
      <protection/>
    </xf>
    <xf numFmtId="179" fontId="0" fillId="0" borderId="62" xfId="111" applyNumberFormat="1" applyFont="1" applyFill="1" applyBorder="1">
      <alignment/>
      <protection/>
    </xf>
    <xf numFmtId="49" fontId="48" fillId="0" borderId="37" xfId="111" applyNumberFormat="1" applyFont="1" applyFill="1" applyBorder="1" applyAlignment="1">
      <alignment horizontal="left"/>
      <protection/>
    </xf>
    <xf numFmtId="178" fontId="0" fillId="0" borderId="44" xfId="111" applyNumberFormat="1" applyFont="1" applyFill="1" applyBorder="1">
      <alignment/>
      <protection/>
    </xf>
    <xf numFmtId="178" fontId="0" fillId="0" borderId="45" xfId="111" applyNumberFormat="1" applyFont="1" applyFill="1" applyBorder="1">
      <alignment/>
      <protection/>
    </xf>
    <xf numFmtId="178" fontId="0" fillId="0" borderId="36" xfId="111" applyNumberFormat="1" applyFont="1" applyFill="1" applyBorder="1">
      <alignment/>
      <protection/>
    </xf>
    <xf numFmtId="178" fontId="0" fillId="0" borderId="27" xfId="111" applyNumberFormat="1" applyFont="1" applyFill="1" applyBorder="1">
      <alignment/>
      <protection/>
    </xf>
    <xf numFmtId="178" fontId="0" fillId="0" borderId="39" xfId="111" applyNumberFormat="1" applyFont="1" applyFill="1" applyBorder="1">
      <alignment/>
      <protection/>
    </xf>
    <xf numFmtId="178" fontId="48" fillId="0" borderId="24" xfId="111" applyNumberFormat="1" applyFont="1" applyFill="1" applyBorder="1">
      <alignment/>
      <protection/>
    </xf>
    <xf numFmtId="179" fontId="0" fillId="0" borderId="32" xfId="111" applyNumberFormat="1" applyFont="1" applyFill="1" applyBorder="1">
      <alignment/>
      <protection/>
    </xf>
    <xf numFmtId="178" fontId="0" fillId="0" borderId="43" xfId="111" applyNumberFormat="1" applyFont="1" applyFill="1" applyBorder="1">
      <alignment/>
      <protection/>
    </xf>
    <xf numFmtId="178" fontId="48" fillId="0" borderId="39" xfId="111" applyNumberFormat="1" applyFont="1" applyFill="1" applyBorder="1">
      <alignment/>
      <protection/>
    </xf>
    <xf numFmtId="179" fontId="0" fillId="0" borderId="42" xfId="111" applyNumberFormat="1" applyFont="1" applyFill="1" applyBorder="1">
      <alignment/>
      <protection/>
    </xf>
    <xf numFmtId="179" fontId="0" fillId="0" borderId="63" xfId="111" applyNumberFormat="1" applyFont="1" applyFill="1" applyBorder="1">
      <alignment/>
      <protection/>
    </xf>
    <xf numFmtId="179" fontId="0" fillId="0" borderId="64" xfId="111" applyNumberFormat="1" applyFont="1" applyFill="1" applyBorder="1">
      <alignment/>
      <protection/>
    </xf>
    <xf numFmtId="0" fontId="3" fillId="0" borderId="0" xfId="114">
      <alignment/>
      <protection/>
    </xf>
    <xf numFmtId="0" fontId="17" fillId="0" borderId="0" xfId="114" applyFont="1" applyAlignment="1">
      <alignment horizontal="right"/>
      <protection/>
    </xf>
    <xf numFmtId="0" fontId="56" fillId="0" borderId="0" xfId="114" applyFont="1" applyAlignment="1">
      <alignment horizontal="centerContinuous"/>
      <protection/>
    </xf>
    <xf numFmtId="0" fontId="60" fillId="0" borderId="0" xfId="114" applyFont="1" applyAlignment="1">
      <alignment horizontal="centerContinuous"/>
      <protection/>
    </xf>
    <xf numFmtId="0" fontId="3" fillId="0" borderId="0" xfId="114" applyAlignment="1">
      <alignment horizontal="centerContinuous"/>
      <protection/>
    </xf>
    <xf numFmtId="0" fontId="61" fillId="0" borderId="0" xfId="114" applyFont="1" applyAlignment="1">
      <alignment horizontal="centerContinuous"/>
      <protection/>
    </xf>
    <xf numFmtId="0" fontId="17" fillId="0" borderId="0" xfId="114" applyFont="1">
      <alignment/>
      <protection/>
    </xf>
    <xf numFmtId="0" fontId="17" fillId="0" borderId="0" xfId="114" applyFont="1" applyAlignment="1">
      <alignment horizontal="right"/>
      <protection/>
    </xf>
    <xf numFmtId="0" fontId="55" fillId="0" borderId="0" xfId="114" applyFont="1" applyAlignment="1">
      <alignment horizontal="right"/>
      <protection/>
    </xf>
    <xf numFmtId="0" fontId="57" fillId="0" borderId="27" xfId="114" applyFont="1" applyBorder="1" applyAlignment="1">
      <alignment horizontal="center"/>
      <protection/>
    </xf>
    <xf numFmtId="0" fontId="57" fillId="0" borderId="65" xfId="114" applyFont="1" applyBorder="1" applyAlignment="1">
      <alignment horizontal="centerContinuous"/>
      <protection/>
    </xf>
    <xf numFmtId="0" fontId="57" fillId="0" borderId="48" xfId="114" applyFont="1" applyBorder="1" applyAlignment="1">
      <alignment horizontal="centerContinuous"/>
      <protection/>
    </xf>
    <xf numFmtId="0" fontId="57" fillId="0" borderId="49" xfId="114" applyFont="1" applyBorder="1" applyAlignment="1">
      <alignment horizontal="centerContinuous"/>
      <protection/>
    </xf>
    <xf numFmtId="0" fontId="57" fillId="0" borderId="36" xfId="114" applyFont="1" applyBorder="1" applyAlignment="1">
      <alignment horizontal="center"/>
      <protection/>
    </xf>
    <xf numFmtId="0" fontId="57" fillId="0" borderId="66" xfId="114" applyFont="1" applyBorder="1" applyAlignment="1">
      <alignment horizontal="center"/>
      <protection/>
    </xf>
    <xf numFmtId="0" fontId="57" fillId="0" borderId="57" xfId="114" applyFont="1" applyBorder="1" applyAlignment="1">
      <alignment horizontal="center"/>
      <protection/>
    </xf>
    <xf numFmtId="0" fontId="57" fillId="0" borderId="24" xfId="114" applyFont="1" applyBorder="1">
      <alignment/>
      <protection/>
    </xf>
    <xf numFmtId="0" fontId="57" fillId="0" borderId="20" xfId="114" applyFont="1" applyBorder="1" applyAlignment="1">
      <alignment horizontal="center"/>
      <protection/>
    </xf>
    <xf numFmtId="0" fontId="57" fillId="0" borderId="39" xfId="114" applyFont="1" applyBorder="1" applyAlignment="1">
      <alignment/>
      <protection/>
    </xf>
    <xf numFmtId="0" fontId="57" fillId="0" borderId="39" xfId="114" applyFont="1" applyBorder="1">
      <alignment/>
      <protection/>
    </xf>
    <xf numFmtId="0" fontId="57" fillId="0" borderId="39" xfId="114" applyFont="1" applyBorder="1" applyAlignment="1">
      <alignment horizontal="center"/>
      <protection/>
    </xf>
    <xf numFmtId="0" fontId="3" fillId="0" borderId="37" xfId="114" applyBorder="1" applyAlignment="1">
      <alignment horizontal="center"/>
      <protection/>
    </xf>
    <xf numFmtId="0" fontId="57" fillId="0" borderId="57" xfId="114" applyFont="1" applyBorder="1">
      <alignment/>
      <protection/>
    </xf>
    <xf numFmtId="0" fontId="57" fillId="0" borderId="39" xfId="114" applyFont="1" applyBorder="1" applyAlignment="1">
      <alignment horizontal="left"/>
      <protection/>
    </xf>
    <xf numFmtId="0" fontId="57" fillId="0" borderId="37" xfId="114" applyFont="1" applyBorder="1">
      <alignment/>
      <protection/>
    </xf>
    <xf numFmtId="0" fontId="57" fillId="0" borderId="39" xfId="114" applyFont="1" applyBorder="1" applyAlignment="1">
      <alignment horizontal="center"/>
      <protection/>
    </xf>
    <xf numFmtId="0" fontId="55" fillId="0" borderId="39" xfId="114" applyFont="1" applyBorder="1" applyAlignment="1">
      <alignment horizontal="center"/>
      <protection/>
    </xf>
    <xf numFmtId="0" fontId="57" fillId="0" borderId="62" xfId="114" applyFont="1" applyBorder="1">
      <alignment/>
      <protection/>
    </xf>
    <xf numFmtId="0" fontId="57" fillId="0" borderId="64" xfId="114" applyFont="1" applyBorder="1">
      <alignment/>
      <protection/>
    </xf>
    <xf numFmtId="0" fontId="57" fillId="0" borderId="35" xfId="114" applyFont="1" applyBorder="1" applyAlignment="1">
      <alignment horizontal="left"/>
      <protection/>
    </xf>
    <xf numFmtId="0" fontId="57" fillId="0" borderId="35" xfId="114" applyFont="1" applyBorder="1">
      <alignment/>
      <protection/>
    </xf>
    <xf numFmtId="0" fontId="55" fillId="0" borderId="35" xfId="114" applyFont="1" applyBorder="1" applyAlignment="1">
      <alignment horizontal="center"/>
      <protection/>
    </xf>
    <xf numFmtId="17" fontId="57" fillId="0" borderId="35" xfId="114" applyNumberFormat="1" applyFont="1" applyBorder="1" applyAlignment="1">
      <alignment horizontal="center"/>
      <protection/>
    </xf>
    <xf numFmtId="0" fontId="3" fillId="0" borderId="35" xfId="114" applyFont="1" applyBorder="1" applyAlignment="1">
      <alignment horizontal="center"/>
      <protection/>
    </xf>
    <xf numFmtId="0" fontId="3" fillId="0" borderId="34" xfId="114" applyBorder="1" applyAlignment="1">
      <alignment horizontal="center"/>
      <protection/>
    </xf>
    <xf numFmtId="0" fontId="55" fillId="0" borderId="55" xfId="114" applyFont="1" applyBorder="1" applyAlignment="1">
      <alignment horizontal="center"/>
      <protection/>
    </xf>
    <xf numFmtId="0" fontId="55" fillId="0" borderId="67" xfId="114" applyFont="1" applyBorder="1" applyAlignment="1">
      <alignment horizontal="center"/>
      <protection/>
    </xf>
    <xf numFmtId="0" fontId="55" fillId="0" borderId="31" xfId="114" applyFont="1" applyBorder="1" applyAlignment="1">
      <alignment horizontal="center"/>
      <protection/>
    </xf>
    <xf numFmtId="0" fontId="56" fillId="0" borderId="37" xfId="115" applyFont="1" applyBorder="1" applyAlignment="1">
      <alignment horizontal="center"/>
      <protection/>
    </xf>
    <xf numFmtId="49" fontId="56" fillId="0" borderId="57" xfId="115" applyNumberFormat="1" applyFont="1" applyBorder="1" applyAlignment="1">
      <alignment horizontal="center"/>
      <protection/>
    </xf>
    <xf numFmtId="49" fontId="56" fillId="0" borderId="24" xfId="115" applyNumberFormat="1" applyFont="1" applyBorder="1" applyAlignment="1">
      <alignment horizontal="center"/>
      <protection/>
    </xf>
    <xf numFmtId="49" fontId="56" fillId="0" borderId="24" xfId="115" applyNumberFormat="1" applyFont="1" applyBorder="1" applyAlignment="1">
      <alignment horizontal="center" vertical="top"/>
      <protection/>
    </xf>
    <xf numFmtId="0" fontId="61" fillId="0" borderId="39" xfId="115" applyFont="1" applyBorder="1" applyAlignment="1">
      <alignment horizontal="center"/>
      <protection/>
    </xf>
    <xf numFmtId="0" fontId="56" fillId="0" borderId="39" xfId="115" applyFont="1" applyBorder="1" applyAlignment="1">
      <alignment horizontal="left"/>
      <protection/>
    </xf>
    <xf numFmtId="164" fontId="56" fillId="0" borderId="39" xfId="115" applyNumberFormat="1" applyFont="1" applyBorder="1" applyAlignment="1">
      <alignment/>
      <protection/>
    </xf>
    <xf numFmtId="166" fontId="56" fillId="0" borderId="39" xfId="114" applyNumberFormat="1" applyFont="1" applyBorder="1" applyAlignment="1">
      <alignment/>
      <protection/>
    </xf>
    <xf numFmtId="0" fontId="15" fillId="0" borderId="37" xfId="115" applyFont="1" applyBorder="1" applyAlignment="1">
      <alignment horizontal="center"/>
      <protection/>
    </xf>
    <xf numFmtId="0" fontId="17" fillId="0" borderId="57" xfId="115" applyFont="1" applyBorder="1">
      <alignment/>
      <protection/>
    </xf>
    <xf numFmtId="49" fontId="15" fillId="0" borderId="24" xfId="115" applyNumberFormat="1" applyFont="1" applyBorder="1" applyAlignment="1">
      <alignment horizontal="center"/>
      <protection/>
    </xf>
    <xf numFmtId="49" fontId="15" fillId="0" borderId="39" xfId="115" applyNumberFormat="1" applyFont="1" applyBorder="1" applyAlignment="1">
      <alignment horizontal="left"/>
      <protection/>
    </xf>
    <xf numFmtId="0" fontId="15" fillId="0" borderId="39" xfId="115" applyFont="1" applyBorder="1" applyAlignment="1">
      <alignment/>
      <protection/>
    </xf>
    <xf numFmtId="164" fontId="15" fillId="0" borderId="39" xfId="114" applyNumberFormat="1" applyFont="1" applyBorder="1" applyAlignment="1">
      <alignment/>
      <protection/>
    </xf>
    <xf numFmtId="166" fontId="15" fillId="0" borderId="39" xfId="114" applyNumberFormat="1" applyFont="1" applyBorder="1" applyAlignment="1">
      <alignment/>
      <protection/>
    </xf>
    <xf numFmtId="0" fontId="62" fillId="0" borderId="37" xfId="115" applyFont="1" applyBorder="1" applyAlignment="1">
      <alignment horizontal="center"/>
      <protection/>
    </xf>
    <xf numFmtId="49" fontId="62" fillId="0" borderId="24" xfId="115" applyNumberFormat="1" applyFont="1" applyBorder="1" applyAlignment="1">
      <alignment horizontal="center"/>
      <protection/>
    </xf>
    <xf numFmtId="49" fontId="62" fillId="0" borderId="39" xfId="115" applyNumberFormat="1" applyFont="1" applyBorder="1" applyAlignment="1">
      <alignment horizontal="left"/>
      <protection/>
    </xf>
    <xf numFmtId="0" fontId="62" fillId="0" borderId="39" xfId="115" applyFont="1" applyBorder="1" applyAlignment="1">
      <alignment/>
      <protection/>
    </xf>
    <xf numFmtId="164" fontId="62" fillId="0" borderId="39" xfId="114" applyNumberFormat="1" applyFont="1" applyBorder="1" applyAlignment="1">
      <alignment/>
      <protection/>
    </xf>
    <xf numFmtId="166" fontId="62" fillId="0" borderId="39" xfId="114" applyNumberFormat="1" applyFont="1" applyBorder="1" applyAlignment="1">
      <alignment/>
      <protection/>
    </xf>
    <xf numFmtId="0" fontId="55" fillId="0" borderId="37" xfId="115" applyFont="1" applyBorder="1" applyAlignment="1">
      <alignment horizontal="center"/>
      <protection/>
    </xf>
    <xf numFmtId="0" fontId="55" fillId="0" borderId="57" xfId="114" applyFont="1" applyBorder="1">
      <alignment/>
      <protection/>
    </xf>
    <xf numFmtId="0" fontId="55" fillId="0" borderId="24" xfId="114" applyFont="1" applyBorder="1">
      <alignment/>
      <protection/>
    </xf>
    <xf numFmtId="0" fontId="55" fillId="0" borderId="24" xfId="114" applyFont="1" applyBorder="1" applyAlignment="1">
      <alignment horizontal="center"/>
      <protection/>
    </xf>
    <xf numFmtId="49" fontId="55" fillId="0" borderId="39" xfId="114" applyNumberFormat="1" applyFont="1" applyBorder="1" applyAlignment="1">
      <alignment horizontal="center"/>
      <protection/>
    </xf>
    <xf numFmtId="49" fontId="55" fillId="0" borderId="39" xfId="114" applyNumberFormat="1" applyFont="1" applyBorder="1" applyAlignment="1">
      <alignment/>
      <protection/>
    </xf>
    <xf numFmtId="164" fontId="55" fillId="0" borderId="39" xfId="114" applyNumberFormat="1" applyFont="1" applyBorder="1" applyAlignment="1">
      <alignment/>
      <protection/>
    </xf>
    <xf numFmtId="166" fontId="55" fillId="0" borderId="39" xfId="114" applyNumberFormat="1" applyFont="1" applyBorder="1" applyAlignment="1">
      <alignment/>
      <protection/>
    </xf>
    <xf numFmtId="0" fontId="55" fillId="0" borderId="57" xfId="115" applyFont="1" applyBorder="1">
      <alignment/>
      <protection/>
    </xf>
    <xf numFmtId="49" fontId="15" fillId="0" borderId="24" xfId="115" applyNumberFormat="1" applyFont="1" applyBorder="1" applyAlignment="1">
      <alignment horizontal="center"/>
      <protection/>
    </xf>
    <xf numFmtId="49" fontId="15" fillId="0" borderId="39" xfId="115" applyNumberFormat="1" applyFont="1" applyBorder="1" applyAlignment="1">
      <alignment horizontal="left"/>
      <protection/>
    </xf>
    <xf numFmtId="0" fontId="15" fillId="0" borderId="39" xfId="115" applyFont="1" applyBorder="1" applyAlignment="1">
      <alignment/>
      <protection/>
    </xf>
    <xf numFmtId="164" fontId="15" fillId="0" borderId="39" xfId="114" applyNumberFormat="1" applyFont="1" applyBorder="1" applyAlignment="1">
      <alignment/>
      <protection/>
    </xf>
    <xf numFmtId="164" fontId="15" fillId="0" borderId="39" xfId="114" applyNumberFormat="1" applyFont="1" applyFill="1" applyBorder="1" applyAlignment="1">
      <alignment/>
      <protection/>
    </xf>
    <xf numFmtId="49" fontId="62" fillId="0" borderId="24" xfId="114" applyNumberFormat="1" applyFont="1" applyBorder="1" applyAlignment="1">
      <alignment horizontal="center"/>
      <protection/>
    </xf>
    <xf numFmtId="49" fontId="62" fillId="0" borderId="39" xfId="114" applyNumberFormat="1" applyFont="1" applyBorder="1" applyAlignment="1">
      <alignment horizontal="left"/>
      <protection/>
    </xf>
    <xf numFmtId="49" fontId="62" fillId="0" borderId="39" xfId="114" applyNumberFormat="1" applyFont="1" applyBorder="1" applyAlignment="1">
      <alignment wrapText="1"/>
      <protection/>
    </xf>
    <xf numFmtId="0" fontId="55" fillId="0" borderId="39" xfId="114" applyFont="1" applyBorder="1" applyAlignment="1">
      <alignment/>
      <protection/>
    </xf>
    <xf numFmtId="0" fontId="55" fillId="0" borderId="39" xfId="114" applyFont="1" applyBorder="1" applyAlignment="1">
      <alignment horizontal="left"/>
      <protection/>
    </xf>
    <xf numFmtId="49" fontId="62" fillId="0" borderId="39" xfId="114" applyNumberFormat="1" applyFont="1" applyBorder="1" applyAlignment="1">
      <alignment horizontal="center"/>
      <protection/>
    </xf>
    <xf numFmtId="0" fontId="62" fillId="0" borderId="39" xfId="114" applyFont="1" applyBorder="1" applyAlignment="1">
      <alignment horizontal="justify"/>
      <protection/>
    </xf>
    <xf numFmtId="49" fontId="15" fillId="0" borderId="24" xfId="115" applyNumberFormat="1" applyFont="1" applyFill="1" applyBorder="1" applyAlignment="1" applyProtection="1">
      <alignment horizontal="center"/>
      <protection locked="0"/>
    </xf>
    <xf numFmtId="49" fontId="15" fillId="0" borderId="39" xfId="115" applyNumberFormat="1" applyFont="1" applyBorder="1" applyAlignment="1">
      <alignment horizontal="center"/>
      <protection/>
    </xf>
    <xf numFmtId="164" fontId="15" fillId="0" borderId="39" xfId="115" applyNumberFormat="1" applyFont="1" applyBorder="1" applyAlignment="1">
      <alignment/>
      <protection/>
    </xf>
    <xf numFmtId="0" fontId="55" fillId="0" borderId="57" xfId="115" applyFont="1" applyBorder="1">
      <alignment/>
      <protection/>
    </xf>
    <xf numFmtId="49" fontId="55" fillId="0" borderId="24" xfId="115" applyNumberFormat="1" applyFont="1" applyFill="1" applyBorder="1" applyAlignment="1" applyProtection="1">
      <alignment horizontal="center"/>
      <protection locked="0"/>
    </xf>
    <xf numFmtId="49" fontId="62" fillId="0" borderId="39" xfId="115" applyNumberFormat="1" applyFont="1" applyBorder="1" applyAlignment="1">
      <alignment horizontal="center"/>
      <protection/>
    </xf>
    <xf numFmtId="164" fontId="62" fillId="0" borderId="39" xfId="115" applyNumberFormat="1" applyFont="1" applyBorder="1" applyAlignment="1">
      <alignment/>
      <protection/>
    </xf>
    <xf numFmtId="49" fontId="55" fillId="0" borderId="0" xfId="115" applyNumberFormat="1" applyFont="1" applyFill="1" applyBorder="1" applyAlignment="1" applyProtection="1">
      <alignment horizontal="center"/>
      <protection locked="0"/>
    </xf>
    <xf numFmtId="1" fontId="3" fillId="0" borderId="21" xfId="114" applyNumberFormat="1" applyFont="1" applyFill="1" applyBorder="1" applyAlignment="1">
      <alignment horizontal="left" vertical="top" wrapText="1"/>
      <protection/>
    </xf>
    <xf numFmtId="1" fontId="55" fillId="0" borderId="21" xfId="114" applyNumberFormat="1" applyFont="1" applyFill="1" applyBorder="1" applyAlignment="1">
      <alignment horizontal="center"/>
      <protection/>
    </xf>
    <xf numFmtId="0" fontId="55" fillId="0" borderId="37" xfId="114" applyFont="1" applyBorder="1" applyAlignment="1">
      <alignment/>
      <protection/>
    </xf>
    <xf numFmtId="164" fontId="55" fillId="0" borderId="39" xfId="115" applyNumberFormat="1" applyFont="1" applyBorder="1" applyAlignment="1">
      <alignment/>
      <protection/>
    </xf>
    <xf numFmtId="49" fontId="63" fillId="0" borderId="0" xfId="115" applyNumberFormat="1" applyFont="1" applyBorder="1" applyAlignment="1">
      <alignment horizontal="center"/>
      <protection/>
    </xf>
    <xf numFmtId="1" fontId="55" fillId="0" borderId="58" xfId="114" applyNumberFormat="1" applyFont="1" applyFill="1" applyBorder="1" applyAlignment="1">
      <alignment horizontal="center"/>
      <protection/>
    </xf>
    <xf numFmtId="49" fontId="55" fillId="0" borderId="37" xfId="114" applyNumberFormat="1" applyFont="1" applyBorder="1" applyAlignment="1">
      <alignment/>
      <protection/>
    </xf>
    <xf numFmtId="0" fontId="55" fillId="0" borderId="37" xfId="114" applyNumberFormat="1" applyFont="1" applyFill="1" applyBorder="1" applyAlignment="1">
      <alignment horizontal="left"/>
      <protection/>
    </xf>
    <xf numFmtId="49" fontId="55" fillId="0" borderId="24" xfId="115" applyNumberFormat="1" applyFont="1" applyBorder="1" applyAlignment="1">
      <alignment horizontal="center"/>
      <protection/>
    </xf>
    <xf numFmtId="49" fontId="55" fillId="0" borderId="39" xfId="115" applyNumberFormat="1" applyFont="1" applyBorder="1" applyAlignment="1">
      <alignment horizontal="center"/>
      <protection/>
    </xf>
    <xf numFmtId="0" fontId="55" fillId="0" borderId="39" xfId="115" applyFont="1" applyBorder="1" applyAlignment="1">
      <alignment/>
      <protection/>
    </xf>
    <xf numFmtId="164" fontId="55" fillId="0" borderId="39" xfId="114" applyNumberFormat="1" applyFont="1" applyBorder="1" applyAlignment="1">
      <alignment/>
      <protection/>
    </xf>
    <xf numFmtId="49" fontId="55" fillId="0" borderId="39" xfId="114" applyNumberFormat="1" applyFont="1" applyBorder="1" applyAlignment="1">
      <alignment/>
      <protection/>
    </xf>
    <xf numFmtId="49" fontId="55" fillId="0" borderId="0" xfId="115" applyNumberFormat="1" applyFont="1" applyBorder="1" applyAlignment="1">
      <alignment horizontal="center"/>
      <protection/>
    </xf>
    <xf numFmtId="49" fontId="55" fillId="0" borderId="58" xfId="115" applyNumberFormat="1" applyFont="1" applyBorder="1" applyAlignment="1">
      <alignment horizontal="center"/>
      <protection/>
    </xf>
    <xf numFmtId="0" fontId="55" fillId="0" borderId="39" xfId="114" applyFont="1" applyBorder="1" applyAlignment="1">
      <alignment/>
      <protection/>
    </xf>
    <xf numFmtId="49" fontId="62" fillId="0" borderId="58" xfId="115" applyNumberFormat="1" applyFont="1" applyBorder="1" applyAlignment="1">
      <alignment horizontal="center"/>
      <protection/>
    </xf>
    <xf numFmtId="166" fontId="55" fillId="0" borderId="39" xfId="114" applyNumberFormat="1" applyFont="1" applyBorder="1" applyAlignment="1">
      <alignment/>
      <protection/>
    </xf>
    <xf numFmtId="49" fontId="62" fillId="0" borderId="0" xfId="115" applyNumberFormat="1" applyFont="1" applyBorder="1" applyAlignment="1">
      <alignment horizontal="center"/>
      <protection/>
    </xf>
    <xf numFmtId="0" fontId="55" fillId="0" borderId="39" xfId="114" applyFont="1" applyFill="1" applyBorder="1" applyAlignment="1">
      <alignment/>
      <protection/>
    </xf>
    <xf numFmtId="0" fontId="55" fillId="57" borderId="37" xfId="115" applyFont="1" applyFill="1" applyBorder="1" applyAlignment="1">
      <alignment horizontal="center"/>
      <protection/>
    </xf>
    <xf numFmtId="0" fontId="55" fillId="57" borderId="57" xfId="115" applyFont="1" applyFill="1" applyBorder="1">
      <alignment/>
      <protection/>
    </xf>
    <xf numFmtId="49" fontId="55" fillId="57" borderId="24" xfId="115" applyNumberFormat="1" applyFont="1" applyFill="1" applyBorder="1" applyAlignment="1" applyProtection="1">
      <alignment horizontal="center"/>
      <protection locked="0"/>
    </xf>
    <xf numFmtId="49" fontId="62" fillId="57" borderId="0" xfId="115" applyNumberFormat="1" applyFont="1" applyFill="1" applyBorder="1" applyAlignment="1">
      <alignment horizontal="center"/>
      <protection/>
    </xf>
    <xf numFmtId="1" fontId="55" fillId="57" borderId="58" xfId="114" applyNumberFormat="1" applyFont="1" applyFill="1" applyBorder="1" applyAlignment="1">
      <alignment horizontal="center"/>
      <protection/>
    </xf>
    <xf numFmtId="0" fontId="55" fillId="57" borderId="39" xfId="114" applyFont="1" applyFill="1" applyBorder="1" applyAlignment="1">
      <alignment/>
      <protection/>
    </xf>
    <xf numFmtId="164" fontId="55" fillId="57" borderId="39" xfId="115" applyNumberFormat="1" applyFont="1" applyFill="1" applyBorder="1" applyAlignment="1">
      <alignment/>
      <protection/>
    </xf>
    <xf numFmtId="166" fontId="55" fillId="57" borderId="39" xfId="114" applyNumberFormat="1" applyFont="1" applyFill="1" applyBorder="1" applyAlignment="1">
      <alignment/>
      <protection/>
    </xf>
    <xf numFmtId="0" fontId="3" fillId="57" borderId="0" xfId="114" applyFill="1">
      <alignment/>
      <protection/>
    </xf>
    <xf numFmtId="0" fontId="55" fillId="0" borderId="37" xfId="115" applyFont="1" applyFill="1" applyBorder="1" applyAlignment="1">
      <alignment horizontal="center"/>
      <protection/>
    </xf>
    <xf numFmtId="0" fontId="55" fillId="0" borderId="57" xfId="115" applyFont="1" applyFill="1" applyBorder="1">
      <alignment/>
      <protection/>
    </xf>
    <xf numFmtId="49" fontId="55" fillId="0" borderId="24" xfId="115" applyNumberFormat="1" applyFont="1" applyFill="1" applyBorder="1" applyAlignment="1">
      <alignment horizontal="center"/>
      <protection/>
    </xf>
    <xf numFmtId="49" fontId="55" fillId="0" borderId="39" xfId="115" applyNumberFormat="1" applyFont="1" applyFill="1" applyBorder="1" applyAlignment="1">
      <alignment horizontal="center"/>
      <protection/>
    </xf>
    <xf numFmtId="0" fontId="55" fillId="0" borderId="39" xfId="115" applyFont="1" applyFill="1" applyBorder="1" applyAlignment="1">
      <alignment/>
      <protection/>
    </xf>
    <xf numFmtId="0" fontId="3" fillId="0" borderId="0" xfId="114" applyFill="1">
      <alignment/>
      <protection/>
    </xf>
    <xf numFmtId="164" fontId="55" fillId="0" borderId="39" xfId="115" applyNumberFormat="1" applyFont="1" applyFill="1" applyBorder="1" applyAlignment="1">
      <alignment/>
      <protection/>
    </xf>
    <xf numFmtId="164" fontId="15" fillId="0" borderId="39" xfId="115" applyNumberFormat="1" applyFont="1" applyBorder="1" applyAlignment="1">
      <alignment/>
      <protection/>
    </xf>
    <xf numFmtId="0" fontId="3" fillId="0" borderId="32" xfId="114" applyBorder="1">
      <alignment/>
      <protection/>
    </xf>
    <xf numFmtId="0" fontId="3" fillId="0" borderId="62" xfId="114" applyBorder="1" applyAlignment="1">
      <alignment wrapText="1"/>
      <protection/>
    </xf>
    <xf numFmtId="0" fontId="3" fillId="0" borderId="64" xfId="114" applyBorder="1" applyAlignment="1">
      <alignment wrapText="1"/>
      <protection/>
    </xf>
    <xf numFmtId="0" fontId="64" fillId="0" borderId="35" xfId="114" applyFont="1" applyBorder="1" applyAlignment="1">
      <alignment horizontal="left" wrapText="1"/>
      <protection/>
    </xf>
    <xf numFmtId="0" fontId="64" fillId="0" borderId="35" xfId="114" applyFont="1" applyBorder="1" applyAlignment="1">
      <alignment wrapText="1"/>
      <protection/>
    </xf>
    <xf numFmtId="164" fontId="3" fillId="0" borderId="35" xfId="114" applyNumberFormat="1" applyBorder="1" applyAlignment="1">
      <alignment/>
      <protection/>
    </xf>
    <xf numFmtId="166" fontId="62" fillId="0" borderId="32" xfId="114" applyNumberFormat="1" applyFont="1" applyBorder="1" applyAlignment="1">
      <alignment/>
      <protection/>
    </xf>
    <xf numFmtId="0" fontId="3" fillId="0" borderId="0" xfId="114" applyAlignment="1">
      <alignment wrapText="1"/>
      <protection/>
    </xf>
    <xf numFmtId="164" fontId="56" fillId="0" borderId="39" xfId="115" applyNumberFormat="1" applyFont="1" applyBorder="1" applyAlignment="1">
      <alignment/>
      <protection/>
    </xf>
    <xf numFmtId="164" fontId="56" fillId="0" borderId="39" xfId="115" applyNumberFormat="1" applyFont="1" applyFill="1" applyBorder="1" applyAlignment="1">
      <alignment/>
      <protection/>
    </xf>
    <xf numFmtId="166" fontId="57" fillId="0" borderId="39" xfId="114" applyNumberFormat="1" applyFont="1" applyBorder="1" applyAlignment="1">
      <alignment/>
      <protection/>
    </xf>
    <xf numFmtId="49" fontId="15" fillId="0" borderId="57" xfId="115" applyNumberFormat="1" applyFont="1" applyBorder="1" applyAlignment="1">
      <alignment horizontal="center"/>
      <protection/>
    </xf>
    <xf numFmtId="49" fontId="15" fillId="0" borderId="24" xfId="115" applyNumberFormat="1" applyFont="1" applyBorder="1" applyAlignment="1">
      <alignment horizontal="center" vertical="top"/>
      <protection/>
    </xf>
    <xf numFmtId="0" fontId="17" fillId="0" borderId="39" xfId="115" applyFont="1" applyBorder="1" applyAlignment="1">
      <alignment horizontal="center"/>
      <protection/>
    </xf>
    <xf numFmtId="0" fontId="15" fillId="0" borderId="39" xfId="115" applyFont="1" applyBorder="1" applyAlignment="1">
      <alignment horizontal="left"/>
      <protection/>
    </xf>
    <xf numFmtId="0" fontId="63" fillId="0" borderId="57" xfId="115" applyFont="1" applyBorder="1">
      <alignment/>
      <protection/>
    </xf>
    <xf numFmtId="0" fontId="63" fillId="0" borderId="24" xfId="115" applyFont="1" applyBorder="1">
      <alignment/>
      <protection/>
    </xf>
    <xf numFmtId="0" fontId="62" fillId="0" borderId="39" xfId="114" applyFont="1" applyBorder="1" applyAlignment="1">
      <alignment wrapText="1"/>
      <protection/>
    </xf>
    <xf numFmtId="49" fontId="55" fillId="0" borderId="39" xfId="114" applyNumberFormat="1" applyFont="1" applyBorder="1" applyAlignment="1">
      <alignment horizontal="left"/>
      <protection/>
    </xf>
    <xf numFmtId="0" fontId="55" fillId="0" borderId="39" xfId="114" applyFont="1" applyBorder="1" applyAlignment="1">
      <alignment wrapText="1"/>
      <protection/>
    </xf>
    <xf numFmtId="0" fontId="3" fillId="0" borderId="57" xfId="115" applyBorder="1">
      <alignment/>
      <protection/>
    </xf>
    <xf numFmtId="0" fontId="3" fillId="0" borderId="24" xfId="115" applyBorder="1">
      <alignment/>
      <protection/>
    </xf>
    <xf numFmtId="49" fontId="55" fillId="0" borderId="39" xfId="114" applyNumberFormat="1" applyFont="1" applyBorder="1" applyAlignment="1">
      <alignment horizontal="left"/>
      <protection/>
    </xf>
    <xf numFmtId="0" fontId="55" fillId="0" borderId="24" xfId="115" applyFont="1" applyBorder="1">
      <alignment/>
      <protection/>
    </xf>
    <xf numFmtId="0" fontId="55" fillId="0" borderId="39" xfId="114" applyFont="1" applyBorder="1" applyAlignment="1">
      <alignment wrapText="1"/>
      <protection/>
    </xf>
    <xf numFmtId="49" fontId="55" fillId="0" borderId="39" xfId="114" applyNumberFormat="1" applyFont="1" applyBorder="1" applyAlignment="1">
      <alignment wrapText="1"/>
      <protection/>
    </xf>
    <xf numFmtId="0" fontId="55" fillId="0" borderId="24" xfId="115" applyFont="1" applyBorder="1">
      <alignment/>
      <protection/>
    </xf>
    <xf numFmtId="0" fontId="55" fillId="0" borderId="24" xfId="114" applyFont="1" applyBorder="1" applyAlignment="1">
      <alignment horizontal="center"/>
      <protection/>
    </xf>
    <xf numFmtId="49" fontId="55" fillId="0" borderId="39" xfId="114" applyNumberFormat="1" applyFont="1" applyBorder="1" applyAlignment="1">
      <alignment horizontal="center"/>
      <protection/>
    </xf>
    <xf numFmtId="49" fontId="55" fillId="0" borderId="39" xfId="114" applyNumberFormat="1" applyFont="1" applyBorder="1" applyAlignment="1">
      <alignment wrapText="1"/>
      <protection/>
    </xf>
    <xf numFmtId="49" fontId="62" fillId="0" borderId="39" xfId="114" applyNumberFormat="1" applyFont="1" applyBorder="1" applyAlignment="1">
      <alignment/>
      <protection/>
    </xf>
    <xf numFmtId="0" fontId="62" fillId="0" borderId="39" xfId="114" applyFont="1" applyBorder="1" applyAlignment="1">
      <alignment/>
      <protection/>
    </xf>
    <xf numFmtId="164" fontId="56" fillId="0" borderId="39" xfId="115" applyNumberFormat="1" applyFont="1" applyFill="1" applyBorder="1" applyAlignment="1">
      <alignment/>
      <protection/>
    </xf>
    <xf numFmtId="164" fontId="15" fillId="0" borderId="39" xfId="115" applyNumberFormat="1" applyFont="1" applyFill="1" applyBorder="1" applyAlignment="1">
      <alignment/>
      <protection/>
    </xf>
    <xf numFmtId="49" fontId="55" fillId="57" borderId="24" xfId="115" applyNumberFormat="1" applyFont="1" applyFill="1" applyBorder="1" applyAlignment="1">
      <alignment horizontal="center"/>
      <protection/>
    </xf>
    <xf numFmtId="49" fontId="55" fillId="57" borderId="39" xfId="115" applyNumberFormat="1" applyFont="1" applyFill="1" applyBorder="1" applyAlignment="1">
      <alignment horizontal="center"/>
      <protection/>
    </xf>
    <xf numFmtId="0" fontId="55" fillId="57" borderId="39" xfId="115" applyFont="1" applyFill="1" applyBorder="1" applyAlignment="1">
      <alignment/>
      <protection/>
    </xf>
    <xf numFmtId="0" fontId="92" fillId="0" borderId="0" xfId="92">
      <alignment/>
      <protection/>
    </xf>
    <xf numFmtId="0" fontId="0" fillId="0" borderId="0" xfId="0" applyFont="1" applyFill="1" applyAlignment="1">
      <alignment/>
    </xf>
    <xf numFmtId="9" fontId="0" fillId="0" borderId="0" xfId="127" applyFont="1" applyFill="1" applyAlignment="1">
      <alignment/>
    </xf>
    <xf numFmtId="173" fontId="0" fillId="0" borderId="0" xfId="0" applyNumberFormat="1" applyFont="1" applyFill="1" applyAlignment="1">
      <alignment/>
    </xf>
    <xf numFmtId="10" fontId="0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4" fontId="0" fillId="0" borderId="0" xfId="127" applyNumberFormat="1" applyFont="1" applyFill="1" applyAlignment="1">
      <alignment/>
    </xf>
    <xf numFmtId="4" fontId="0" fillId="0" borderId="0" xfId="127" applyNumberFormat="1" applyFont="1" applyFill="1" applyBorder="1" applyAlignment="1">
      <alignment/>
    </xf>
    <xf numFmtId="0" fontId="0" fillId="0" borderId="39" xfId="0" applyFont="1" applyFill="1" applyBorder="1" applyAlignment="1">
      <alignment/>
    </xf>
    <xf numFmtId="3" fontId="0" fillId="0" borderId="0" xfId="0" applyNumberFormat="1" applyFont="1" applyFill="1" applyBorder="1" applyAlignment="1">
      <alignment horizontal="right"/>
    </xf>
    <xf numFmtId="174" fontId="0" fillId="0" borderId="0" xfId="0" applyNumberFormat="1" applyFont="1" applyFill="1" applyBorder="1" applyAlignment="1">
      <alignment horizontal="right"/>
    </xf>
    <xf numFmtId="4" fontId="0" fillId="0" borderId="0" xfId="0" applyNumberFormat="1" applyFont="1" applyFill="1" applyAlignment="1">
      <alignment/>
    </xf>
    <xf numFmtId="175" fontId="0" fillId="0" borderId="0" xfId="0" applyNumberFormat="1" applyFill="1" applyAlignment="1">
      <alignment/>
    </xf>
    <xf numFmtId="0" fontId="48" fillId="0" borderId="0" xfId="0" applyFont="1" applyFill="1" applyAlignment="1">
      <alignment/>
    </xf>
    <xf numFmtId="0" fontId="48" fillId="0" borderId="0" xfId="0" applyFont="1" applyFill="1" applyAlignment="1">
      <alignment horizontal="center"/>
    </xf>
    <xf numFmtId="0" fontId="65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5" fillId="0" borderId="0" xfId="0" applyFont="1" applyFill="1" applyBorder="1" applyAlignment="1">
      <alignment/>
    </xf>
    <xf numFmtId="0" fontId="48" fillId="0" borderId="22" xfId="0" applyFont="1" applyFill="1" applyBorder="1" applyAlignment="1">
      <alignment horizontal="center" wrapText="1"/>
    </xf>
    <xf numFmtId="3" fontId="0" fillId="0" borderId="22" xfId="0" applyNumberFormat="1" applyFont="1" applyFill="1" applyBorder="1" applyAlignment="1">
      <alignment horizontal="right" wrapText="1"/>
    </xf>
    <xf numFmtId="3" fontId="0" fillId="0" borderId="0" xfId="0" applyNumberFormat="1" applyFont="1" applyFill="1" applyBorder="1" applyAlignment="1">
      <alignment horizontal="right" wrapText="1"/>
    </xf>
    <xf numFmtId="0" fontId="48" fillId="0" borderId="22" xfId="94" applyFont="1" applyFill="1" applyBorder="1" applyAlignment="1">
      <alignment horizontal="center" vertical="center" wrapText="1"/>
      <protection/>
    </xf>
    <xf numFmtId="175" fontId="48" fillId="0" borderId="22" xfId="0" applyNumberFormat="1" applyFont="1" applyFill="1" applyBorder="1" applyAlignment="1">
      <alignment horizontal="left" vertical="center"/>
    </xf>
    <xf numFmtId="3" fontId="48" fillId="0" borderId="22" xfId="0" applyNumberFormat="1" applyFont="1" applyFill="1" applyBorder="1" applyAlignment="1">
      <alignment/>
    </xf>
    <xf numFmtId="10" fontId="0" fillId="0" borderId="22" xfId="0" applyNumberFormat="1" applyFont="1" applyFill="1" applyBorder="1" applyAlignment="1">
      <alignment/>
    </xf>
    <xf numFmtId="10" fontId="0" fillId="0" borderId="0" xfId="0" applyNumberFormat="1" applyFill="1" applyAlignment="1">
      <alignment/>
    </xf>
    <xf numFmtId="3" fontId="33" fillId="0" borderId="22" xfId="0" applyNumberFormat="1" applyFont="1" applyFill="1" applyBorder="1" applyAlignment="1">
      <alignment/>
    </xf>
    <xf numFmtId="10" fontId="101" fillId="0" borderId="22" xfId="0" applyNumberFormat="1" applyFont="1" applyFill="1" applyBorder="1" applyAlignment="1">
      <alignment/>
    </xf>
    <xf numFmtId="175" fontId="48" fillId="0" borderId="22" xfId="94" applyNumberFormat="1" applyFont="1" applyFill="1" applyBorder="1" applyAlignment="1">
      <alignment horizontal="left" vertical="center"/>
      <protection/>
    </xf>
    <xf numFmtId="3" fontId="48" fillId="0" borderId="22" xfId="94" applyNumberFormat="1" applyFont="1" applyFill="1" applyBorder="1">
      <alignment/>
      <protection/>
    </xf>
    <xf numFmtId="10" fontId="48" fillId="0" borderId="22" xfId="94" applyNumberFormat="1" applyFont="1" applyFill="1" applyBorder="1">
      <alignment/>
      <protection/>
    </xf>
    <xf numFmtId="0" fontId="4" fillId="0" borderId="0" xfId="109" applyFont="1" applyFill="1">
      <alignment/>
      <protection/>
    </xf>
    <xf numFmtId="0" fontId="4" fillId="0" borderId="34" xfId="0" applyFont="1" applyFill="1" applyBorder="1" applyAlignment="1">
      <alignment wrapText="1"/>
    </xf>
    <xf numFmtId="180" fontId="4" fillId="0" borderId="34" xfId="0" applyNumberFormat="1" applyFont="1" applyFill="1" applyBorder="1" applyAlignment="1">
      <alignment horizontal="right" wrapText="1"/>
    </xf>
    <xf numFmtId="0" fontId="4" fillId="0" borderId="34" xfId="0" applyFont="1" applyFill="1" applyBorder="1" applyAlignment="1">
      <alignment/>
    </xf>
    <xf numFmtId="4" fontId="4" fillId="0" borderId="34" xfId="0" applyNumberFormat="1" applyFont="1" applyFill="1" applyBorder="1" applyAlignment="1">
      <alignment horizontal="justify" wrapText="1"/>
    </xf>
    <xf numFmtId="176" fontId="4" fillId="0" borderId="34" xfId="0" applyNumberFormat="1" applyFont="1" applyFill="1" applyBorder="1" applyAlignment="1">
      <alignment horizontal="right" wrapText="1"/>
    </xf>
    <xf numFmtId="180" fontId="4" fillId="0" borderId="0" xfId="109" applyNumberFormat="1" applyFont="1" applyFill="1">
      <alignment/>
      <protection/>
    </xf>
    <xf numFmtId="4" fontId="4" fillId="0" borderId="34" xfId="0" applyNumberFormat="1" applyFont="1" applyFill="1" applyBorder="1" applyAlignment="1">
      <alignment horizontal="left" wrapText="1"/>
    </xf>
    <xf numFmtId="0" fontId="4" fillId="0" borderId="34" xfId="0" applyFont="1" applyFill="1" applyBorder="1" applyAlignment="1">
      <alignment horizontal="left" wrapText="1"/>
    </xf>
    <xf numFmtId="1" fontId="4" fillId="0" borderId="0" xfId="109" applyNumberFormat="1" applyFont="1" applyFill="1">
      <alignment/>
      <protection/>
    </xf>
    <xf numFmtId="177" fontId="4" fillId="0" borderId="0" xfId="109" applyNumberFormat="1" applyFont="1" applyFill="1">
      <alignment/>
      <protection/>
    </xf>
    <xf numFmtId="0" fontId="0" fillId="0" borderId="0" xfId="118" applyFill="1">
      <alignment/>
      <protection/>
    </xf>
    <xf numFmtId="0" fontId="64" fillId="0" borderId="55" xfId="118" applyFont="1" applyFill="1" applyBorder="1" applyAlignment="1">
      <alignment horizontal="center" vertical="center"/>
      <protection/>
    </xf>
    <xf numFmtId="3" fontId="64" fillId="0" borderId="54" xfId="118" applyNumberFormat="1" applyFont="1" applyFill="1" applyBorder="1" applyAlignment="1">
      <alignment horizontal="center" vertical="center"/>
      <protection/>
    </xf>
    <xf numFmtId="4" fontId="48" fillId="0" borderId="54" xfId="118" applyNumberFormat="1" applyFont="1" applyFill="1" applyBorder="1" applyAlignment="1">
      <alignment horizontal="center" vertical="center" wrapText="1"/>
      <protection/>
    </xf>
    <xf numFmtId="0" fontId="64" fillId="0" borderId="56" xfId="118" applyFont="1" applyFill="1" applyBorder="1" applyAlignment="1">
      <alignment horizontal="center" vertical="center" wrapText="1"/>
      <protection/>
    </xf>
    <xf numFmtId="0" fontId="3" fillId="0" borderId="68" xfId="118" applyFont="1" applyFill="1" applyBorder="1" applyAlignment="1">
      <alignment horizontal="left"/>
      <protection/>
    </xf>
    <xf numFmtId="4" fontId="3" fillId="0" borderId="25" xfId="118" applyNumberFormat="1" applyFont="1" applyFill="1" applyBorder="1" applyAlignment="1">
      <alignment horizontal="right"/>
      <protection/>
    </xf>
    <xf numFmtId="4" fontId="0" fillId="0" borderId="25" xfId="118" applyNumberFormat="1" applyFont="1" applyFill="1" applyBorder="1">
      <alignment/>
      <protection/>
    </xf>
    <xf numFmtId="175" fontId="3" fillId="0" borderId="69" xfId="118" applyNumberFormat="1" applyFont="1" applyFill="1" applyBorder="1">
      <alignment/>
      <protection/>
    </xf>
    <xf numFmtId="175" fontId="0" fillId="0" borderId="0" xfId="118" applyNumberFormat="1" applyFill="1">
      <alignment/>
      <protection/>
    </xf>
    <xf numFmtId="4" fontId="0" fillId="0" borderId="0" xfId="118" applyNumberFormat="1" applyFill="1">
      <alignment/>
      <protection/>
    </xf>
    <xf numFmtId="0" fontId="3" fillId="0" borderId="70" xfId="118" applyFont="1" applyFill="1" applyBorder="1" applyAlignment="1">
      <alignment horizontal="left"/>
      <protection/>
    </xf>
    <xf numFmtId="4" fontId="3" fillId="0" borderId="22" xfId="118" applyNumberFormat="1" applyFont="1" applyFill="1" applyBorder="1" applyAlignment="1">
      <alignment horizontal="right"/>
      <protection/>
    </xf>
    <xf numFmtId="4" fontId="0" fillId="0" borderId="22" xfId="118" applyNumberFormat="1" applyFont="1" applyFill="1" applyBorder="1">
      <alignment/>
      <protection/>
    </xf>
    <xf numFmtId="0" fontId="3" fillId="0" borderId="71" xfId="118" applyFont="1" applyFill="1" applyBorder="1" applyAlignment="1">
      <alignment horizontal="left"/>
      <protection/>
    </xf>
    <xf numFmtId="4" fontId="3" fillId="0" borderId="72" xfId="118" applyNumberFormat="1" applyFont="1" applyFill="1" applyBorder="1" applyAlignment="1">
      <alignment horizontal="right"/>
      <protection/>
    </xf>
    <xf numFmtId="4" fontId="0" fillId="0" borderId="20" xfId="118" applyNumberFormat="1" applyFont="1" applyFill="1" applyBorder="1">
      <alignment/>
      <protection/>
    </xf>
    <xf numFmtId="0" fontId="64" fillId="0" borderId="55" xfId="118" applyFont="1" applyFill="1" applyBorder="1" applyAlignment="1">
      <alignment horizontal="left"/>
      <protection/>
    </xf>
    <xf numFmtId="4" fontId="64" fillId="0" borderId="54" xfId="118" applyNumberFormat="1" applyFont="1" applyFill="1" applyBorder="1" applyAlignment="1">
      <alignment horizontal="right"/>
      <protection/>
    </xf>
    <xf numFmtId="4" fontId="64" fillId="0" borderId="54" xfId="118" applyNumberFormat="1" applyFont="1" applyFill="1" applyBorder="1" applyAlignment="1">
      <alignment/>
      <protection/>
    </xf>
    <xf numFmtId="175" fontId="64" fillId="0" borderId="56" xfId="118" applyNumberFormat="1" applyFont="1" applyFill="1" applyBorder="1" applyAlignment="1">
      <alignment/>
      <protection/>
    </xf>
    <xf numFmtId="2" fontId="0" fillId="0" borderId="0" xfId="118" applyNumberFormat="1" applyFill="1">
      <alignment/>
      <protection/>
    </xf>
    <xf numFmtId="0" fontId="66" fillId="0" borderId="0" xfId="118" applyFont="1" applyFill="1" applyAlignment="1">
      <alignment horizontal="right" vertical="top"/>
      <protection/>
    </xf>
    <xf numFmtId="0" fontId="0" fillId="0" borderId="0" xfId="0" applyFont="1" applyFill="1" applyAlignment="1">
      <alignment horizontal="right"/>
    </xf>
    <xf numFmtId="0" fontId="0" fillId="0" borderId="22" xfId="0" applyFont="1" applyFill="1" applyBorder="1" applyAlignment="1">
      <alignment horizontal="center" vertical="center" wrapText="1"/>
    </xf>
    <xf numFmtId="14" fontId="31" fillId="0" borderId="22" xfId="0" applyNumberFormat="1" applyFont="1" applyFill="1" applyBorder="1" applyAlignment="1">
      <alignment horizontal="right"/>
    </xf>
    <xf numFmtId="3" fontId="84" fillId="0" borderId="22" xfId="0" applyNumberFormat="1" applyFont="1" applyFill="1" applyBorder="1" applyAlignment="1">
      <alignment horizontal="right"/>
    </xf>
    <xf numFmtId="3" fontId="84" fillId="0" borderId="22" xfId="0" applyNumberFormat="1" applyFont="1" applyFill="1" applyBorder="1" applyAlignment="1">
      <alignment/>
    </xf>
    <xf numFmtId="14" fontId="0" fillId="0" borderId="22" xfId="0" applyNumberFormat="1" applyFont="1" applyFill="1" applyBorder="1" applyAlignment="1">
      <alignment horizontal="center"/>
    </xf>
    <xf numFmtId="0" fontId="48" fillId="0" borderId="0" xfId="0" applyFont="1" applyFill="1" applyAlignment="1">
      <alignment horizontal="center" wrapText="1"/>
    </xf>
    <xf numFmtId="0" fontId="65" fillId="0" borderId="0" xfId="0" applyFont="1" applyFill="1" applyAlignment="1">
      <alignment vertical="center" wrapText="1"/>
    </xf>
    <xf numFmtId="0" fontId="0" fillId="0" borderId="22" xfId="0" applyFont="1" applyFill="1" applyBorder="1" applyAlignment="1">
      <alignment vertical="center" wrapText="1"/>
    </xf>
    <xf numFmtId="3" fontId="0" fillId="0" borderId="22" xfId="0" applyNumberFormat="1" applyFont="1" applyFill="1" applyBorder="1" applyAlignment="1">
      <alignment horizontal="right" vertical="center"/>
    </xf>
    <xf numFmtId="49" fontId="0" fillId="0" borderId="0" xfId="0" applyNumberFormat="1" applyFont="1" applyFill="1" applyBorder="1" applyAlignment="1">
      <alignment horizontal="center" vertical="center"/>
    </xf>
    <xf numFmtId="4" fontId="0" fillId="0" borderId="0" xfId="0" applyNumberFormat="1" applyFill="1" applyAlignment="1">
      <alignment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17" fontId="0" fillId="0" borderId="0" xfId="0" applyNumberFormat="1" applyFill="1" applyAlignment="1">
      <alignment/>
    </xf>
    <xf numFmtId="0" fontId="0" fillId="0" borderId="22" xfId="0" applyFont="1" applyFill="1" applyBorder="1" applyAlignment="1">
      <alignment horizontal="center" vertical="center"/>
    </xf>
    <xf numFmtId="49" fontId="0" fillId="0" borderId="22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48" fillId="0" borderId="22" xfId="0" applyFont="1" applyFill="1" applyBorder="1" applyAlignment="1">
      <alignment horizontal="center" vertical="center" wrapText="1"/>
    </xf>
    <xf numFmtId="1" fontId="48" fillId="0" borderId="22" xfId="0" applyNumberFormat="1" applyFont="1" applyFill="1" applyBorder="1" applyAlignment="1">
      <alignment horizontal="center" vertical="center" wrapText="1"/>
    </xf>
    <xf numFmtId="49" fontId="0" fillId="0" borderId="22" xfId="0" applyNumberFormat="1" applyFont="1" applyFill="1" applyBorder="1" applyAlignment="1">
      <alignment horizontal="right" vertical="center"/>
    </xf>
    <xf numFmtId="3" fontId="48" fillId="0" borderId="22" xfId="0" applyNumberFormat="1" applyFont="1" applyFill="1" applyBorder="1" applyAlignment="1">
      <alignment horizontal="right" vertical="center"/>
    </xf>
    <xf numFmtId="0" fontId="0" fillId="0" borderId="22" xfId="0" applyNumberFormat="1" applyFont="1" applyFill="1" applyBorder="1" applyAlignment="1">
      <alignment horizontal="right" vertical="center"/>
    </xf>
    <xf numFmtId="0" fontId="0" fillId="0" borderId="22" xfId="0" applyFont="1" applyFill="1" applyBorder="1" applyAlignment="1">
      <alignment horizontal="right" vertical="center" wrapText="1"/>
    </xf>
    <xf numFmtId="0" fontId="0" fillId="0" borderId="22" xfId="0" applyFont="1" applyFill="1" applyBorder="1" applyAlignment="1">
      <alignment horizontal="right" vertical="center"/>
    </xf>
    <xf numFmtId="0" fontId="0" fillId="0" borderId="22" xfId="0" applyFont="1" applyFill="1" applyBorder="1" applyAlignment="1">
      <alignment horizontal="left" vertical="center" wrapText="1"/>
    </xf>
    <xf numFmtId="0" fontId="29" fillId="0" borderId="0" xfId="0" applyFont="1" applyFill="1" applyAlignment="1">
      <alignment/>
    </xf>
    <xf numFmtId="1" fontId="0" fillId="0" borderId="22" xfId="0" applyNumberFormat="1" applyFont="1" applyFill="1" applyBorder="1" applyAlignment="1">
      <alignment horizontal="right" vertical="center"/>
    </xf>
    <xf numFmtId="0" fontId="48" fillId="0" borderId="22" xfId="0" applyFont="1" applyFill="1" applyBorder="1" applyAlignment="1">
      <alignment horizontal="left"/>
    </xf>
    <xf numFmtId="0" fontId="51" fillId="0" borderId="0" xfId="0" applyFont="1" applyFill="1" applyAlignment="1">
      <alignment/>
    </xf>
    <xf numFmtId="0" fontId="48" fillId="0" borderId="0" xfId="0" applyFont="1" applyFill="1" applyBorder="1" applyAlignment="1">
      <alignment horizontal="left"/>
    </xf>
    <xf numFmtId="3" fontId="48" fillId="0" borderId="0" xfId="0" applyNumberFormat="1" applyFont="1" applyFill="1" applyBorder="1" applyAlignment="1">
      <alignment/>
    </xf>
    <xf numFmtId="0" fontId="67" fillId="0" borderId="0" xfId="0" applyFont="1" applyFill="1" applyBorder="1" applyAlignment="1">
      <alignment horizontal="left"/>
    </xf>
    <xf numFmtId="0" fontId="31" fillId="0" borderId="0" xfId="0" applyFont="1" applyFill="1" applyBorder="1" applyAlignment="1">
      <alignment horizontal="center"/>
    </xf>
    <xf numFmtId="0" fontId="31" fillId="0" borderId="0" xfId="0" applyFont="1" applyFill="1" applyBorder="1" applyAlignment="1">
      <alignment horizontal="left"/>
    </xf>
    <xf numFmtId="0" fontId="31" fillId="0" borderId="0" xfId="0" applyFont="1" applyFill="1" applyBorder="1" applyAlignment="1">
      <alignment horizontal="left" vertical="top" wrapText="1"/>
    </xf>
    <xf numFmtId="0" fontId="0" fillId="0" borderId="0" xfId="0" applyFont="1" applyFill="1" applyAlignment="1">
      <alignment horizontal="right" vertical="top"/>
    </xf>
    <xf numFmtId="3" fontId="0" fillId="0" borderId="0" xfId="0" applyNumberFormat="1" applyFont="1" applyFill="1" applyBorder="1" applyAlignment="1">
      <alignment horizontal="right" vertical="center"/>
    </xf>
    <xf numFmtId="1" fontId="0" fillId="0" borderId="0" xfId="0" applyNumberFormat="1" applyFont="1" applyFill="1" applyAlignment="1">
      <alignment horizontal="right"/>
    </xf>
    <xf numFmtId="1" fontId="29" fillId="0" borderId="0" xfId="0" applyNumberFormat="1" applyFont="1" applyFill="1" applyAlignment="1">
      <alignment horizontal="right"/>
    </xf>
    <xf numFmtId="0" fontId="67" fillId="0" borderId="0" xfId="0" applyFont="1" applyFill="1" applyBorder="1" applyAlignment="1">
      <alignment/>
    </xf>
    <xf numFmtId="0" fontId="52" fillId="0" borderId="0" xfId="0" applyFont="1" applyFill="1" applyBorder="1" applyAlignment="1">
      <alignment horizontal="left" wrapText="1"/>
    </xf>
    <xf numFmtId="0" fontId="51" fillId="0" borderId="22" xfId="0" applyFont="1" applyFill="1" applyBorder="1" applyAlignment="1">
      <alignment horizontal="center" vertical="center" wrapText="1"/>
    </xf>
    <xf numFmtId="4" fontId="51" fillId="0" borderId="22" xfId="0" applyNumberFormat="1" applyFont="1" applyFill="1" applyBorder="1" applyAlignment="1">
      <alignment horizontal="center" vertical="center" wrapText="1"/>
    </xf>
    <xf numFmtId="0" fontId="0" fillId="0" borderId="73" xfId="0" applyFont="1" applyFill="1" applyBorder="1" applyAlignment="1">
      <alignment vertical="center" wrapText="1"/>
    </xf>
    <xf numFmtId="3" fontId="0" fillId="0" borderId="74" xfId="0" applyNumberFormat="1" applyFont="1" applyFill="1" applyBorder="1" applyAlignment="1">
      <alignment horizontal="right" vertical="center"/>
    </xf>
    <xf numFmtId="3" fontId="0" fillId="0" borderId="74" xfId="0" applyNumberFormat="1" applyFont="1" applyFill="1" applyBorder="1" applyAlignment="1">
      <alignment horizontal="center" vertical="center" wrapText="1"/>
    </xf>
    <xf numFmtId="3" fontId="0" fillId="0" borderId="22" xfId="0" applyNumberFormat="1" applyFont="1" applyFill="1" applyBorder="1" applyAlignment="1">
      <alignment vertical="center"/>
    </xf>
    <xf numFmtId="3" fontId="0" fillId="0" borderId="22" xfId="0" applyNumberFormat="1" applyFont="1" applyFill="1" applyBorder="1" applyAlignment="1">
      <alignment horizontal="right" vertical="center" wrapText="1"/>
    </xf>
    <xf numFmtId="14" fontId="0" fillId="0" borderId="22" xfId="0" applyNumberFormat="1" applyFont="1" applyFill="1" applyBorder="1" applyAlignment="1">
      <alignment vertical="center"/>
    </xf>
    <xf numFmtId="0" fontId="0" fillId="0" borderId="74" xfId="0" applyFont="1" applyFill="1" applyBorder="1" applyAlignment="1">
      <alignment horizontal="center" vertical="center" wrapText="1"/>
    </xf>
    <xf numFmtId="3" fontId="0" fillId="0" borderId="20" xfId="0" applyNumberFormat="1" applyFont="1" applyFill="1" applyBorder="1" applyAlignment="1">
      <alignment vertical="center"/>
    </xf>
    <xf numFmtId="0" fontId="0" fillId="0" borderId="20" xfId="0" applyFont="1" applyFill="1" applyBorder="1" applyAlignment="1">
      <alignment vertical="center"/>
    </xf>
    <xf numFmtId="3" fontId="31" fillId="0" borderId="20" xfId="0" applyNumberFormat="1" applyFont="1" applyFill="1" applyBorder="1" applyAlignment="1">
      <alignment vertical="center" wrapText="1"/>
    </xf>
    <xf numFmtId="14" fontId="0" fillId="0" borderId="20" xfId="0" applyNumberFormat="1" applyFont="1" applyFill="1" applyBorder="1" applyAlignment="1">
      <alignment vertical="center"/>
    </xf>
    <xf numFmtId="3" fontId="0" fillId="0" borderId="20" xfId="0" applyNumberFormat="1" applyFont="1" applyFill="1" applyBorder="1" applyAlignment="1">
      <alignment vertical="center" wrapText="1"/>
    </xf>
    <xf numFmtId="14" fontId="0" fillId="0" borderId="22" xfId="0" applyNumberFormat="1" applyFont="1" applyFill="1" applyBorder="1" applyAlignment="1">
      <alignment horizontal="right" vertical="center" wrapText="1"/>
    </xf>
    <xf numFmtId="4" fontId="0" fillId="0" borderId="22" xfId="0" applyNumberFormat="1" applyFont="1" applyFill="1" applyBorder="1" applyAlignment="1">
      <alignment horizontal="right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vertical="center" wrapText="1"/>
    </xf>
    <xf numFmtId="49" fontId="0" fillId="0" borderId="20" xfId="0" applyNumberFormat="1" applyFont="1" applyFill="1" applyBorder="1" applyAlignment="1">
      <alignment horizontal="right" vertical="center"/>
    </xf>
    <xf numFmtId="49" fontId="0" fillId="0" borderId="20" xfId="0" applyNumberFormat="1" applyFont="1" applyFill="1" applyBorder="1" applyAlignment="1">
      <alignment horizontal="center" vertical="center"/>
    </xf>
    <xf numFmtId="3" fontId="0" fillId="0" borderId="22" xfId="0" applyNumberFormat="1" applyFont="1" applyFill="1" applyBorder="1" applyAlignment="1">
      <alignment vertical="center" wrapText="1"/>
    </xf>
    <xf numFmtId="0" fontId="0" fillId="0" borderId="40" xfId="0" applyFont="1" applyFill="1" applyBorder="1" applyAlignment="1">
      <alignment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75" xfId="0" applyFont="1" applyFill="1" applyBorder="1" applyAlignment="1">
      <alignment vertical="center" wrapText="1"/>
    </xf>
    <xf numFmtId="0" fontId="0" fillId="0" borderId="20" xfId="0" applyNumberFormat="1" applyFont="1" applyFill="1" applyBorder="1" applyAlignment="1">
      <alignment horizontal="right" vertical="center"/>
    </xf>
    <xf numFmtId="4" fontId="0" fillId="0" borderId="75" xfId="0" applyNumberFormat="1" applyFont="1" applyFill="1" applyBorder="1" applyAlignment="1">
      <alignment vertical="center" wrapText="1"/>
    </xf>
    <xf numFmtId="0" fontId="0" fillId="0" borderId="23" xfId="0" applyFont="1" applyFill="1" applyBorder="1" applyAlignment="1">
      <alignment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21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center" vertical="center"/>
    </xf>
    <xf numFmtId="3" fontId="0" fillId="0" borderId="21" xfId="0" applyNumberFormat="1" applyFont="1" applyFill="1" applyBorder="1" applyAlignment="1">
      <alignment horizontal="right" vertical="center"/>
    </xf>
    <xf numFmtId="3" fontId="0" fillId="0" borderId="0" xfId="0" applyNumberFormat="1" applyFont="1" applyFill="1" applyBorder="1" applyAlignment="1">
      <alignment vertical="center"/>
    </xf>
    <xf numFmtId="3" fontId="0" fillId="0" borderId="21" xfId="0" applyNumberFormat="1" applyFont="1" applyFill="1" applyBorder="1" applyAlignment="1">
      <alignment vertical="center"/>
    </xf>
    <xf numFmtId="4" fontId="0" fillId="0" borderId="0" xfId="0" applyNumberFormat="1" applyFont="1" applyFill="1" applyBorder="1" applyAlignment="1">
      <alignment vertical="center" wrapText="1"/>
    </xf>
    <xf numFmtId="0" fontId="0" fillId="0" borderId="76" xfId="0" applyFont="1" applyFill="1" applyBorder="1" applyAlignment="1">
      <alignment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77" xfId="0" applyFont="1" applyFill="1" applyBorder="1" applyAlignment="1">
      <alignment vertical="center"/>
    </xf>
    <xf numFmtId="0" fontId="0" fillId="0" borderId="25" xfId="0" applyFont="1" applyFill="1" applyBorder="1" applyAlignment="1">
      <alignment horizontal="right" vertical="center"/>
    </xf>
    <xf numFmtId="0" fontId="0" fillId="0" borderId="77" xfId="0" applyFont="1" applyFill="1" applyBorder="1" applyAlignment="1">
      <alignment horizontal="center" vertical="center"/>
    </xf>
    <xf numFmtId="3" fontId="0" fillId="0" borderId="25" xfId="0" applyNumberFormat="1" applyFont="1" applyFill="1" applyBorder="1" applyAlignment="1">
      <alignment horizontal="right" vertical="center"/>
    </xf>
    <xf numFmtId="14" fontId="0" fillId="0" borderId="20" xfId="0" applyNumberFormat="1" applyFont="1" applyFill="1" applyBorder="1" applyAlignment="1">
      <alignment horizontal="right" vertical="center" wrapText="1"/>
    </xf>
    <xf numFmtId="4" fontId="0" fillId="0" borderId="21" xfId="0" applyNumberFormat="1" applyFont="1" applyFill="1" applyBorder="1" applyAlignment="1">
      <alignment vertical="center"/>
    </xf>
    <xf numFmtId="0" fontId="0" fillId="0" borderId="21" xfId="0" applyFont="1" applyFill="1" applyBorder="1" applyAlignment="1">
      <alignment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vertical="center" wrapText="1"/>
    </xf>
    <xf numFmtId="49" fontId="0" fillId="0" borderId="21" xfId="0" applyNumberFormat="1" applyFont="1" applyFill="1" applyBorder="1" applyAlignment="1">
      <alignment horizontal="right" vertical="center"/>
    </xf>
    <xf numFmtId="49" fontId="0" fillId="0" borderId="25" xfId="0" applyNumberFormat="1" applyFont="1" applyFill="1" applyBorder="1" applyAlignment="1">
      <alignment horizontal="center" vertical="center"/>
    </xf>
    <xf numFmtId="4" fontId="0" fillId="0" borderId="22" xfId="0" applyNumberFormat="1" applyFont="1" applyFill="1" applyBorder="1" applyAlignment="1">
      <alignment vertical="center"/>
    </xf>
    <xf numFmtId="0" fontId="0" fillId="0" borderId="40" xfId="0" applyFont="1" applyFill="1" applyBorder="1" applyAlignment="1">
      <alignment vertical="center" wrapText="1"/>
    </xf>
    <xf numFmtId="0" fontId="0" fillId="0" borderId="26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right" vertical="center" wrapText="1"/>
    </xf>
    <xf numFmtId="3" fontId="0" fillId="0" borderId="25" xfId="0" applyNumberFormat="1" applyFont="1" applyFill="1" applyBorder="1" applyAlignment="1">
      <alignment horizontal="right" vertical="center" wrapText="1"/>
    </xf>
    <xf numFmtId="0" fontId="0" fillId="0" borderId="73" xfId="0" applyFont="1" applyFill="1" applyBorder="1" applyAlignment="1">
      <alignment horizontal="left" vertical="center" wrapText="1"/>
    </xf>
    <xf numFmtId="4" fontId="0" fillId="0" borderId="26" xfId="0" applyNumberFormat="1" applyFont="1" applyFill="1" applyBorder="1" applyAlignment="1">
      <alignment vertical="center"/>
    </xf>
    <xf numFmtId="4" fontId="0" fillId="0" borderId="25" xfId="0" applyNumberFormat="1" applyFont="1" applyFill="1" applyBorder="1" applyAlignment="1">
      <alignment horizontal="right" vertical="center"/>
    </xf>
    <xf numFmtId="14" fontId="0" fillId="0" borderId="25" xfId="0" applyNumberFormat="1" applyFont="1" applyFill="1" applyBorder="1" applyAlignment="1">
      <alignment vertical="center"/>
    </xf>
    <xf numFmtId="0" fontId="0" fillId="0" borderId="74" xfId="0" applyFont="1" applyFill="1" applyBorder="1" applyAlignment="1">
      <alignment vertical="center"/>
    </xf>
    <xf numFmtId="14" fontId="0" fillId="0" borderId="22" xfId="0" applyNumberFormat="1" applyFont="1" applyFill="1" applyBorder="1" applyAlignment="1">
      <alignment horizontal="right" vertical="center"/>
    </xf>
    <xf numFmtId="3" fontId="0" fillId="0" borderId="22" xfId="0" applyNumberFormat="1" applyFont="1" applyFill="1" applyBorder="1" applyAlignment="1">
      <alignment horizontal="center" vertical="center" wrapText="1"/>
    </xf>
    <xf numFmtId="0" fontId="0" fillId="0" borderId="74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vertical="center"/>
    </xf>
    <xf numFmtId="0" fontId="0" fillId="0" borderId="76" xfId="0" applyFont="1" applyFill="1" applyBorder="1" applyAlignment="1">
      <alignment vertical="center" wrapText="1"/>
    </xf>
    <xf numFmtId="0" fontId="0" fillId="0" borderId="26" xfId="0" applyFont="1" applyFill="1" applyBorder="1" applyAlignment="1">
      <alignment horizontal="center" vertical="center"/>
    </xf>
    <xf numFmtId="3" fontId="0" fillId="0" borderId="25" xfId="0" applyNumberFormat="1" applyFont="1" applyFill="1" applyBorder="1" applyAlignment="1">
      <alignment vertical="center"/>
    </xf>
    <xf numFmtId="3" fontId="0" fillId="0" borderId="74" xfId="0" applyNumberFormat="1" applyFont="1" applyFill="1" applyBorder="1" applyAlignment="1">
      <alignment vertical="center"/>
    </xf>
    <xf numFmtId="0" fontId="0" fillId="0" borderId="25" xfId="123" applyFont="1" applyFill="1" applyBorder="1" applyAlignment="1">
      <alignment vertical="center" wrapText="1"/>
      <protection/>
    </xf>
    <xf numFmtId="0" fontId="0" fillId="0" borderId="25" xfId="123" applyFont="1" applyFill="1" applyBorder="1" applyAlignment="1">
      <alignment horizontal="center" vertical="center" wrapText="1"/>
      <protection/>
    </xf>
    <xf numFmtId="0" fontId="0" fillId="0" borderId="76" xfId="123" applyFont="1" applyFill="1" applyBorder="1" applyAlignment="1">
      <alignment vertical="center" wrapText="1"/>
      <protection/>
    </xf>
    <xf numFmtId="49" fontId="0" fillId="0" borderId="25" xfId="123" applyNumberFormat="1" applyFont="1" applyFill="1" applyBorder="1" applyAlignment="1">
      <alignment horizontal="center" vertical="center"/>
      <protection/>
    </xf>
    <xf numFmtId="0" fontId="0" fillId="0" borderId="25" xfId="123" applyNumberFormat="1" applyFont="1" applyFill="1" applyBorder="1" applyAlignment="1">
      <alignment horizontal="right" vertical="center"/>
      <protection/>
    </xf>
    <xf numFmtId="0" fontId="0" fillId="0" borderId="74" xfId="0" applyFont="1" applyFill="1" applyBorder="1" applyAlignment="1">
      <alignment vertical="center" wrapText="1"/>
    </xf>
    <xf numFmtId="1" fontId="0" fillId="0" borderId="20" xfId="0" applyNumberFormat="1" applyFont="1" applyFill="1" applyBorder="1" applyAlignment="1">
      <alignment horizontal="right" vertical="center"/>
    </xf>
    <xf numFmtId="1" fontId="0" fillId="0" borderId="20" xfId="0" applyNumberFormat="1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right" vertical="center" wrapText="1"/>
    </xf>
    <xf numFmtId="3" fontId="0" fillId="0" borderId="21" xfId="0" applyNumberFormat="1" applyFont="1" applyFill="1" applyBorder="1" applyAlignment="1">
      <alignment horizontal="right" vertical="center" wrapText="1"/>
    </xf>
    <xf numFmtId="0" fontId="0" fillId="0" borderId="75" xfId="0" applyFont="1" applyFill="1" applyBorder="1" applyAlignment="1">
      <alignment horizontal="center" vertical="center"/>
    </xf>
    <xf numFmtId="0" fontId="0" fillId="0" borderId="78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right" vertical="center" wrapText="1"/>
    </xf>
    <xf numFmtId="3" fontId="0" fillId="0" borderId="78" xfId="0" applyNumberFormat="1" applyFont="1" applyFill="1" applyBorder="1" applyAlignment="1">
      <alignment horizontal="right" vertical="center" wrapText="1"/>
    </xf>
    <xf numFmtId="3" fontId="0" fillId="0" borderId="75" xfId="0" applyNumberFormat="1" applyFont="1" applyFill="1" applyBorder="1" applyAlignment="1">
      <alignment vertical="center"/>
    </xf>
    <xf numFmtId="0" fontId="0" fillId="0" borderId="75" xfId="0" applyFont="1" applyFill="1" applyBorder="1" applyAlignment="1">
      <alignment vertical="center"/>
    </xf>
    <xf numFmtId="0" fontId="0" fillId="0" borderId="77" xfId="0" applyFont="1" applyFill="1" applyBorder="1" applyAlignment="1">
      <alignment vertical="center" wrapText="1"/>
    </xf>
    <xf numFmtId="49" fontId="0" fillId="0" borderId="25" xfId="0" applyNumberFormat="1" applyFont="1" applyFill="1" applyBorder="1" applyAlignment="1">
      <alignment horizontal="right" vertical="center"/>
    </xf>
    <xf numFmtId="3" fontId="0" fillId="0" borderId="26" xfId="0" applyNumberFormat="1" applyFont="1" applyFill="1" applyBorder="1" applyAlignment="1">
      <alignment horizontal="right" vertical="center" wrapText="1"/>
    </xf>
    <xf numFmtId="3" fontId="0" fillId="0" borderId="77" xfId="0" applyNumberFormat="1" applyFont="1" applyFill="1" applyBorder="1" applyAlignment="1">
      <alignment vertical="center"/>
    </xf>
    <xf numFmtId="14" fontId="0" fillId="0" borderId="25" xfId="0" applyNumberFormat="1" applyFont="1" applyFill="1" applyBorder="1" applyAlignment="1">
      <alignment horizontal="right" vertical="center" wrapText="1"/>
    </xf>
    <xf numFmtId="14" fontId="0" fillId="0" borderId="22" xfId="0" applyNumberFormat="1" applyFill="1" applyBorder="1" applyAlignment="1">
      <alignment vertical="center"/>
    </xf>
    <xf numFmtId="3" fontId="0" fillId="0" borderId="20" xfId="0" applyNumberFormat="1" applyFont="1" applyFill="1" applyBorder="1" applyAlignment="1">
      <alignment horizontal="right" vertical="center"/>
    </xf>
    <xf numFmtId="14" fontId="0" fillId="0" borderId="22" xfId="0" applyNumberFormat="1" applyFont="1" applyFill="1" applyBorder="1" applyAlignment="1">
      <alignment horizontal="center" vertical="center" wrapText="1"/>
    </xf>
    <xf numFmtId="4" fontId="0" fillId="0" borderId="22" xfId="0" applyNumberFormat="1" applyFont="1" applyFill="1" applyBorder="1" applyAlignment="1">
      <alignment vertical="center" wrapText="1"/>
    </xf>
    <xf numFmtId="14" fontId="0" fillId="0" borderId="25" xfId="0" applyNumberFormat="1" applyFont="1" applyFill="1" applyBorder="1" applyAlignment="1">
      <alignment horizontal="center" vertical="center" wrapText="1"/>
    </xf>
    <xf numFmtId="3" fontId="0" fillId="0" borderId="25" xfId="0" applyNumberFormat="1" applyFont="1" applyFill="1" applyBorder="1" applyAlignment="1">
      <alignment horizontal="center" vertical="center" wrapText="1"/>
    </xf>
    <xf numFmtId="0" fontId="0" fillId="0" borderId="73" xfId="0" applyFont="1" applyFill="1" applyBorder="1" applyAlignment="1">
      <alignment vertical="center"/>
    </xf>
    <xf numFmtId="3" fontId="0" fillId="0" borderId="22" xfId="0" applyNumberFormat="1" applyFont="1" applyFill="1" applyBorder="1" applyAlignment="1">
      <alignment horizontal="center" vertical="center"/>
    </xf>
    <xf numFmtId="4" fontId="0" fillId="0" borderId="74" xfId="0" applyNumberFormat="1" applyFont="1" applyFill="1" applyBorder="1" applyAlignment="1">
      <alignment horizontal="right" vertical="center" wrapText="1"/>
    </xf>
    <xf numFmtId="3" fontId="0" fillId="0" borderId="20" xfId="0" applyNumberFormat="1" applyFont="1" applyFill="1" applyBorder="1" applyAlignment="1">
      <alignment horizontal="center" vertical="center" wrapText="1"/>
    </xf>
    <xf numFmtId="0" fontId="51" fillId="0" borderId="73" xfId="0" applyFont="1" applyFill="1" applyBorder="1" applyAlignment="1">
      <alignment/>
    </xf>
    <xf numFmtId="0" fontId="51" fillId="0" borderId="51" xfId="0" applyFont="1" applyFill="1" applyBorder="1" applyAlignment="1">
      <alignment/>
    </xf>
    <xf numFmtId="0" fontId="51" fillId="0" borderId="51" xfId="0" applyFont="1" applyFill="1" applyBorder="1" applyAlignment="1">
      <alignment horizontal="right"/>
    </xf>
    <xf numFmtId="0" fontId="51" fillId="0" borderId="51" xfId="0" applyFont="1" applyFill="1" applyBorder="1" applyAlignment="1">
      <alignment horizontal="center"/>
    </xf>
    <xf numFmtId="3" fontId="51" fillId="0" borderId="22" xfId="0" applyNumberFormat="1" applyFont="1" applyFill="1" applyBorder="1" applyAlignment="1">
      <alignment horizontal="right"/>
    </xf>
    <xf numFmtId="4" fontId="51" fillId="0" borderId="51" xfId="0" applyNumberFormat="1" applyFont="1" applyFill="1" applyBorder="1" applyAlignment="1">
      <alignment horizontal="right"/>
    </xf>
    <xf numFmtId="4" fontId="51" fillId="0" borderId="74" xfId="0" applyNumberFormat="1" applyFont="1" applyFill="1" applyBorder="1" applyAlignment="1">
      <alignment horizontal="right"/>
    </xf>
    <xf numFmtId="3" fontId="51" fillId="0" borderId="73" xfId="0" applyNumberFormat="1" applyFont="1" applyFill="1" applyBorder="1" applyAlignment="1">
      <alignment horizontal="right"/>
    </xf>
    <xf numFmtId="3" fontId="51" fillId="0" borderId="22" xfId="0" applyNumberFormat="1" applyFont="1" applyFill="1" applyBorder="1" applyAlignment="1">
      <alignment/>
    </xf>
    <xf numFmtId="3" fontId="51" fillId="0" borderId="73" xfId="0" applyNumberFormat="1" applyFont="1" applyFill="1" applyBorder="1" applyAlignment="1">
      <alignment/>
    </xf>
    <xf numFmtId="4" fontId="51" fillId="0" borderId="73" xfId="0" applyNumberFormat="1" applyFont="1" applyFill="1" applyBorder="1" applyAlignment="1">
      <alignment/>
    </xf>
    <xf numFmtId="3" fontId="51" fillId="0" borderId="74" xfId="0" applyNumberFormat="1" applyFont="1" applyFill="1" applyBorder="1" applyAlignment="1">
      <alignment/>
    </xf>
    <xf numFmtId="0" fontId="51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175" fontId="51" fillId="0" borderId="0" xfId="0" applyNumberFormat="1" applyFont="1" applyFill="1" applyBorder="1" applyAlignment="1">
      <alignment horizontal="center"/>
    </xf>
    <xf numFmtId="0" fontId="48" fillId="0" borderId="0" xfId="0" applyFont="1" applyFill="1" applyAlignment="1">
      <alignment horizontal="left"/>
    </xf>
    <xf numFmtId="0" fontId="0" fillId="0" borderId="0" xfId="0" applyFont="1" applyFill="1" applyAlignment="1">
      <alignment horizontal="center"/>
    </xf>
    <xf numFmtId="0" fontId="0" fillId="0" borderId="22" xfId="0" applyFont="1" applyFill="1" applyBorder="1" applyAlignment="1">
      <alignment horizontal="left" vertical="center"/>
    </xf>
    <xf numFmtId="0" fontId="0" fillId="0" borderId="22" xfId="0" applyNumberFormat="1" applyFont="1" applyFill="1" applyBorder="1" applyAlignment="1">
      <alignment horizontal="right" vertical="center" wrapText="1"/>
    </xf>
    <xf numFmtId="49" fontId="0" fillId="0" borderId="22" xfId="0" applyNumberFormat="1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left" vertical="center" wrapText="1"/>
    </xf>
    <xf numFmtId="0" fontId="0" fillId="0" borderId="20" xfId="0" applyFont="1" applyFill="1" applyBorder="1" applyAlignment="1">
      <alignment horizontal="right" vertical="center"/>
    </xf>
    <xf numFmtId="0" fontId="51" fillId="0" borderId="73" xfId="0" applyFont="1" applyFill="1" applyBorder="1" applyAlignment="1">
      <alignment vertical="top" wrapText="1"/>
    </xf>
    <xf numFmtId="0" fontId="4" fillId="0" borderId="51" xfId="0" applyFont="1" applyFill="1" applyBorder="1" applyAlignment="1">
      <alignment/>
    </xf>
    <xf numFmtId="0" fontId="4" fillId="0" borderId="51" xfId="0" applyFont="1" applyFill="1" applyBorder="1" applyAlignment="1">
      <alignment horizontal="center"/>
    </xf>
    <xf numFmtId="4" fontId="51" fillId="0" borderId="51" xfId="0" applyNumberFormat="1" applyFont="1" applyFill="1" applyBorder="1" applyAlignment="1">
      <alignment/>
    </xf>
    <xf numFmtId="4" fontId="51" fillId="0" borderId="74" xfId="0" applyNumberFormat="1" applyFont="1" applyFill="1" applyBorder="1" applyAlignment="1">
      <alignment/>
    </xf>
    <xf numFmtId="3" fontId="51" fillId="0" borderId="22" xfId="0" applyNumberFormat="1" applyFont="1" applyFill="1" applyBorder="1" applyAlignment="1">
      <alignment/>
    </xf>
    <xf numFmtId="3" fontId="51" fillId="0" borderId="73" xfId="0" applyNumberFormat="1" applyFont="1" applyFill="1" applyBorder="1" applyAlignment="1">
      <alignment/>
    </xf>
    <xf numFmtId="4" fontId="51" fillId="0" borderId="73" xfId="0" applyNumberFormat="1" applyFont="1" applyFill="1" applyBorder="1" applyAlignment="1">
      <alignment/>
    </xf>
    <xf numFmtId="0" fontId="51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center"/>
    </xf>
    <xf numFmtId="4" fontId="51" fillId="0" borderId="0" xfId="0" applyNumberFormat="1" applyFont="1" applyFill="1" applyBorder="1" applyAlignment="1">
      <alignment horizontal="right"/>
    </xf>
    <xf numFmtId="4" fontId="51" fillId="0" borderId="0" xfId="0" applyNumberFormat="1" applyFont="1" applyFill="1" applyBorder="1" applyAlignment="1">
      <alignment/>
    </xf>
    <xf numFmtId="0" fontId="31" fillId="0" borderId="0" xfId="0" applyFont="1" applyFill="1" applyBorder="1" applyAlignment="1">
      <alignment/>
    </xf>
    <xf numFmtId="0" fontId="0" fillId="0" borderId="0" xfId="0" applyFill="1" applyAlignment="1">
      <alignment horizontal="center"/>
    </xf>
    <xf numFmtId="0" fontId="68" fillId="0" borderId="0" xfId="0" applyFont="1" applyFill="1" applyBorder="1" applyAlignment="1">
      <alignment horizontal="center"/>
    </xf>
    <xf numFmtId="0" fontId="67" fillId="0" borderId="0" xfId="0" applyFont="1" applyFill="1" applyBorder="1" applyAlignment="1">
      <alignment horizontal="left" vertical="top"/>
    </xf>
    <xf numFmtId="0" fontId="67" fillId="0" borderId="0" xfId="0" applyFont="1" applyFill="1" applyBorder="1" applyAlignment="1">
      <alignment horizontal="center"/>
    </xf>
    <xf numFmtId="0" fontId="51" fillId="0" borderId="0" xfId="0" applyFont="1" applyFill="1" applyAlignment="1">
      <alignment/>
    </xf>
    <xf numFmtId="49" fontId="51" fillId="0" borderId="0" xfId="0" applyNumberFormat="1" applyFont="1" applyFill="1" applyAlignment="1">
      <alignment/>
    </xf>
    <xf numFmtId="0" fontId="48" fillId="0" borderId="0" xfId="0" applyFont="1" applyFill="1" applyAlignment="1">
      <alignment horizontal="justify" wrapText="1"/>
    </xf>
    <xf numFmtId="0" fontId="48" fillId="0" borderId="0" xfId="0" applyFont="1" applyFill="1" applyAlignment="1">
      <alignment wrapText="1"/>
    </xf>
    <xf numFmtId="0" fontId="0" fillId="0" borderId="22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 wrapText="1"/>
    </xf>
    <xf numFmtId="49" fontId="49" fillId="0" borderId="22" xfId="94" applyNumberFormat="1" applyFont="1" applyFill="1" applyBorder="1" applyAlignment="1">
      <alignment horizontal="center" vertical="center"/>
      <protection/>
    </xf>
    <xf numFmtId="0" fontId="48" fillId="0" borderId="22" xfId="94" applyFont="1" applyFill="1" applyBorder="1" applyAlignment="1">
      <alignment horizontal="center" vertical="center" wrapText="1"/>
      <protection/>
    </xf>
    <xf numFmtId="0" fontId="0" fillId="0" borderId="22" xfId="94" applyFill="1" applyBorder="1" applyAlignment="1">
      <alignment/>
      <protection/>
    </xf>
    <xf numFmtId="17" fontId="51" fillId="0" borderId="47" xfId="0" applyNumberFormat="1" applyFont="1" applyFill="1" applyBorder="1" applyAlignment="1">
      <alignment horizontal="center"/>
    </xf>
    <xf numFmtId="0" fontId="51" fillId="0" borderId="47" xfId="0" applyFont="1" applyFill="1" applyBorder="1" applyAlignment="1">
      <alignment horizontal="center"/>
    </xf>
    <xf numFmtId="4" fontId="4" fillId="0" borderId="34" xfId="0" applyNumberFormat="1" applyFont="1" applyFill="1" applyBorder="1" applyAlignment="1">
      <alignment wrapText="1"/>
    </xf>
    <xf numFmtId="0" fontId="48" fillId="0" borderId="47" xfId="118" applyFont="1" applyFill="1" applyBorder="1" applyAlignment="1">
      <alignment horizontal="center"/>
      <protection/>
    </xf>
    <xf numFmtId="0" fontId="48" fillId="0" borderId="47" xfId="121" applyFont="1" applyFill="1" applyBorder="1" applyAlignment="1">
      <alignment horizontal="center"/>
      <protection/>
    </xf>
    <xf numFmtId="0" fontId="0" fillId="0" borderId="0" xfId="118" applyFont="1" applyFill="1" applyAlignment="1">
      <alignment wrapText="1"/>
      <protection/>
    </xf>
    <xf numFmtId="0" fontId="0" fillId="0" borderId="0" xfId="121" applyFill="1" applyAlignment="1">
      <alignment wrapText="1"/>
      <protection/>
    </xf>
    <xf numFmtId="0" fontId="48" fillId="0" borderId="22" xfId="0" applyFont="1" applyFill="1" applyBorder="1" applyAlignment="1">
      <alignment horizontal="center" wrapText="1"/>
    </xf>
    <xf numFmtId="0" fontId="49" fillId="0" borderId="0" xfId="0" applyFont="1" applyFill="1" applyAlignment="1">
      <alignment horizontal="center" wrapText="1"/>
    </xf>
    <xf numFmtId="0" fontId="0" fillId="0" borderId="0" xfId="0" applyFill="1" applyAlignment="1">
      <alignment horizont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left" vertical="top" wrapText="1"/>
    </xf>
    <xf numFmtId="0" fontId="48" fillId="0" borderId="0" xfId="0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vertical="top" wrapText="1"/>
    </xf>
    <xf numFmtId="0" fontId="48" fillId="0" borderId="77" xfId="0" applyFont="1" applyFill="1" applyBorder="1" applyAlignment="1">
      <alignment horizontal="center" vertical="center"/>
    </xf>
    <xf numFmtId="0" fontId="0" fillId="0" borderId="77" xfId="0" applyFill="1" applyBorder="1" applyAlignment="1">
      <alignment/>
    </xf>
    <xf numFmtId="0" fontId="51" fillId="0" borderId="20" xfId="0" applyFont="1" applyFill="1" applyBorder="1" applyAlignment="1">
      <alignment horizontal="center" vertical="center"/>
    </xf>
    <xf numFmtId="0" fontId="51" fillId="0" borderId="25" xfId="0" applyFont="1" applyFill="1" applyBorder="1" applyAlignment="1">
      <alignment horizontal="center" vertical="center"/>
    </xf>
    <xf numFmtId="0" fontId="51" fillId="0" borderId="20" xfId="0" applyFont="1" applyFill="1" applyBorder="1" applyAlignment="1">
      <alignment horizontal="center" vertical="center" wrapText="1"/>
    </xf>
    <xf numFmtId="0" fontId="51" fillId="0" borderId="25" xfId="0" applyFont="1" applyFill="1" applyBorder="1" applyAlignment="1">
      <alignment horizontal="center" vertical="center" wrapText="1"/>
    </xf>
    <xf numFmtId="4" fontId="51" fillId="0" borderId="20" xfId="0" applyNumberFormat="1" applyFont="1" applyFill="1" applyBorder="1" applyAlignment="1">
      <alignment horizontal="center" vertical="center" wrapText="1"/>
    </xf>
    <xf numFmtId="4" fontId="51" fillId="0" borderId="25" xfId="0" applyNumberFormat="1" applyFont="1" applyFill="1" applyBorder="1" applyAlignment="1">
      <alignment horizontal="center" vertical="center" wrapText="1"/>
    </xf>
    <xf numFmtId="0" fontId="51" fillId="0" borderId="73" xfId="0" applyFont="1" applyFill="1" applyBorder="1" applyAlignment="1">
      <alignment horizontal="center"/>
    </xf>
    <xf numFmtId="0" fontId="51" fillId="0" borderId="51" xfId="0" applyFont="1" applyFill="1" applyBorder="1" applyAlignment="1">
      <alignment horizontal="center"/>
    </xf>
    <xf numFmtId="0" fontId="51" fillId="0" borderId="74" xfId="0" applyFont="1" applyFill="1" applyBorder="1" applyAlignment="1">
      <alignment horizontal="center"/>
    </xf>
    <xf numFmtId="0" fontId="29" fillId="0" borderId="0" xfId="0" applyFont="1" applyBorder="1" applyAlignment="1">
      <alignment horizontal="center"/>
    </xf>
  </cellXfs>
  <cellStyles count="151">
    <cellStyle name="Normal" xfId="0"/>
    <cellStyle name="20 % - zvýraznenie1" xfId="15"/>
    <cellStyle name="20 % - zvýraznenie1 2" xfId="16"/>
    <cellStyle name="20 % - zvýraznenie2" xfId="17"/>
    <cellStyle name="20 % - zvýraznenie2 2" xfId="18"/>
    <cellStyle name="20 % - zvýraznenie3" xfId="19"/>
    <cellStyle name="20 % - zvýraznenie3 2" xfId="20"/>
    <cellStyle name="20 % - zvýraznenie4" xfId="21"/>
    <cellStyle name="20 % - zvýraznenie4 2" xfId="22"/>
    <cellStyle name="20 % - zvýraznenie5" xfId="23"/>
    <cellStyle name="20 % - zvýraznenie5 2" xfId="24"/>
    <cellStyle name="20 % - zvýraznenie6" xfId="25"/>
    <cellStyle name="20 % - zvýraznenie6 2" xfId="26"/>
    <cellStyle name="40 % - zvýraznenie1" xfId="27"/>
    <cellStyle name="40 % - zvýraznenie1 2" xfId="28"/>
    <cellStyle name="40 % - zvýraznenie2" xfId="29"/>
    <cellStyle name="40 % - zvýraznenie2 2" xfId="30"/>
    <cellStyle name="40 % - zvýraznenie3" xfId="31"/>
    <cellStyle name="40 % - zvýraznenie3 2" xfId="32"/>
    <cellStyle name="40 % - zvýraznenie4" xfId="33"/>
    <cellStyle name="40 % - zvýraznenie4 2" xfId="34"/>
    <cellStyle name="40 % - zvýraznenie5" xfId="35"/>
    <cellStyle name="40 % - zvýraznenie5 2" xfId="36"/>
    <cellStyle name="40 % - zvýraznenie6" xfId="37"/>
    <cellStyle name="40 % - zvýraznenie6 2" xfId="38"/>
    <cellStyle name="60 % - zvýraznenie1" xfId="39"/>
    <cellStyle name="60 % - zvýraznenie1 2" xfId="40"/>
    <cellStyle name="60 % - zvýraznenie2" xfId="41"/>
    <cellStyle name="60 % - zvýraznenie2 2" xfId="42"/>
    <cellStyle name="60 % - zvýraznenie3" xfId="43"/>
    <cellStyle name="60 % - zvýraznenie3 2" xfId="44"/>
    <cellStyle name="60 % - zvýraznenie4" xfId="45"/>
    <cellStyle name="60 % - zvýraznenie4 2" xfId="46"/>
    <cellStyle name="60 % - zvýraznenie5" xfId="47"/>
    <cellStyle name="60 % - zvýraznenie5 2" xfId="48"/>
    <cellStyle name="60 % - zvýraznenie6" xfId="49"/>
    <cellStyle name="60 % - zvýraznenie6 2" xfId="50"/>
    <cellStyle name="Akcia" xfId="51"/>
    <cellStyle name="Cena_Sk" xfId="52"/>
    <cellStyle name="Comma [0]" xfId="53"/>
    <cellStyle name="Currency [0]" xfId="54"/>
    <cellStyle name="Comma" xfId="55"/>
    <cellStyle name="Comma [0]" xfId="56"/>
    <cellStyle name="Čiarka 2" xfId="57"/>
    <cellStyle name="Čiarka 3" xfId="58"/>
    <cellStyle name="Čiarka 4" xfId="59"/>
    <cellStyle name="Čiarka 5" xfId="60"/>
    <cellStyle name="Čiarka 6" xfId="61"/>
    <cellStyle name="Date" xfId="62"/>
    <cellStyle name="Dobrá" xfId="63"/>
    <cellStyle name="Dobrá 2" xfId="64"/>
    <cellStyle name="Euro" xfId="65"/>
    <cellStyle name="Fixed" xfId="66"/>
    <cellStyle name="Heading1" xfId="67"/>
    <cellStyle name="Heading2" xfId="68"/>
    <cellStyle name="Kontrolná bunka" xfId="69"/>
    <cellStyle name="Kontrolná bunka 2" xfId="70"/>
    <cellStyle name="Currency" xfId="71"/>
    <cellStyle name="Currency [0]" xfId="72"/>
    <cellStyle name="Nadpis 1" xfId="73"/>
    <cellStyle name="Nadpis 1 2" xfId="74"/>
    <cellStyle name="Nadpis 2" xfId="75"/>
    <cellStyle name="Nadpis 2 2" xfId="76"/>
    <cellStyle name="Nadpis 3" xfId="77"/>
    <cellStyle name="Nadpis 3 2" xfId="78"/>
    <cellStyle name="Nadpis 4" xfId="79"/>
    <cellStyle name="Nadpis 4 2" xfId="80"/>
    <cellStyle name="Nazov" xfId="81"/>
    <cellStyle name="Neutrálna" xfId="82"/>
    <cellStyle name="Neutrálna 2" xfId="83"/>
    <cellStyle name="Normal_Book1" xfId="84"/>
    <cellStyle name="Normálna 10" xfId="85"/>
    <cellStyle name="Normálna 11" xfId="86"/>
    <cellStyle name="Normálna 12" xfId="87"/>
    <cellStyle name="Normálna 13" xfId="88"/>
    <cellStyle name="Normálna 14" xfId="89"/>
    <cellStyle name="Normálna 15" xfId="90"/>
    <cellStyle name="Normálna 16" xfId="91"/>
    <cellStyle name="Normálna 17" xfId="92"/>
    <cellStyle name="Normálna 2" xfId="93"/>
    <cellStyle name="Normálna 2 2" xfId="94"/>
    <cellStyle name="Normálna 3" xfId="95"/>
    <cellStyle name="Normálna 3 2" xfId="96"/>
    <cellStyle name="Normálna 3 3" xfId="97"/>
    <cellStyle name="Normálna 3 4" xfId="98"/>
    <cellStyle name="Normálna 3 5" xfId="99"/>
    <cellStyle name="Normálna 3 6" xfId="100"/>
    <cellStyle name="Normálna 4" xfId="101"/>
    <cellStyle name="Normálna 4 2" xfId="102"/>
    <cellStyle name="Normálna 5" xfId="103"/>
    <cellStyle name="Normálna 6" xfId="104"/>
    <cellStyle name="Normálna 7" xfId="105"/>
    <cellStyle name="Normálna 8" xfId="106"/>
    <cellStyle name="Normálna 9" xfId="107"/>
    <cellStyle name="normálne_06 SF Spolu PLNENIE 1-6 2012    11 07 2012" xfId="108"/>
    <cellStyle name="normálne_AA1_spôsoby vymáhania_12_10  2" xfId="109"/>
    <cellStyle name="normálne_Časový vývoj SP od roku 95 - 2001" xfId="110"/>
    <cellStyle name="normálne_Hárok1" xfId="111"/>
    <cellStyle name="normálne_Mesač.prehľad P aV apríl 2006" xfId="112"/>
    <cellStyle name="normálne_nový výkaz upravený " xfId="113"/>
    <cellStyle name="normálne_plnenie 2012" xfId="114"/>
    <cellStyle name="normálne_plnenie investície 2006" xfId="115"/>
    <cellStyle name="normálne_Prílohy č. 1a ... (tvorba fondov 2007)" xfId="116"/>
    <cellStyle name="normálne_Prílohy k správe k 30.11.2010 - ústredie" xfId="117"/>
    <cellStyle name="normálne_Prílohy.správa o hosp.k 31.12.2006" xfId="118"/>
    <cellStyle name="normálne_Skutočnosť k 31.8.2010 - vzorce" xfId="119"/>
    <cellStyle name="normálne_Skutočnosť k 31.8.2010 - vzorce 2" xfId="120"/>
    <cellStyle name="normálne_VS. 2011.Prílohy_pohľadávky" xfId="121"/>
    <cellStyle name="normálne_Výdavky ZFNP 2007 - do správy" xfId="122"/>
    <cellStyle name="normálne_Zdravotnícke zariadenia ku dňu 31.12.2005" xfId="123"/>
    <cellStyle name="normálne_Zošit2" xfId="124"/>
    <cellStyle name="normální 2" xfId="125"/>
    <cellStyle name="normální_15.6.07 východ.+rozpočet 08-10" xfId="126"/>
    <cellStyle name="Percent" xfId="127"/>
    <cellStyle name="Percentá 2" xfId="128"/>
    <cellStyle name="Percentá 3" xfId="129"/>
    <cellStyle name="Popis" xfId="130"/>
    <cellStyle name="Poznámka" xfId="131"/>
    <cellStyle name="Poznámka 2" xfId="132"/>
    <cellStyle name="Prepojená bunka" xfId="133"/>
    <cellStyle name="Prepojená bunka 2" xfId="134"/>
    <cellStyle name="ProductNo." xfId="135"/>
    <cellStyle name="Spolu" xfId="136"/>
    <cellStyle name="Spolu 2" xfId="137"/>
    <cellStyle name="Text upozornenia" xfId="138"/>
    <cellStyle name="Text upozornenia 2" xfId="139"/>
    <cellStyle name="Titul" xfId="140"/>
    <cellStyle name="Total" xfId="141"/>
    <cellStyle name="Upozornenie" xfId="142"/>
    <cellStyle name="Vstup" xfId="143"/>
    <cellStyle name="Vstup 2" xfId="144"/>
    <cellStyle name="Výpočet" xfId="145"/>
    <cellStyle name="Výpočet 2" xfId="146"/>
    <cellStyle name="Výstup" xfId="147"/>
    <cellStyle name="Výstup 2" xfId="148"/>
    <cellStyle name="Vysvetľujúci text" xfId="149"/>
    <cellStyle name="Vysvetľujúci text 2" xfId="150"/>
    <cellStyle name="Zlá" xfId="151"/>
    <cellStyle name="Zlá 2" xfId="152"/>
    <cellStyle name="Zvýraznenie1" xfId="153"/>
    <cellStyle name="Zvýraznenie1 2" xfId="154"/>
    <cellStyle name="Zvýraznenie2" xfId="155"/>
    <cellStyle name="Zvýraznenie2 2" xfId="156"/>
    <cellStyle name="Zvýraznenie3" xfId="157"/>
    <cellStyle name="Zvýraznenie3 2" xfId="158"/>
    <cellStyle name="Zvýraznenie4" xfId="159"/>
    <cellStyle name="Zvýraznenie4 2" xfId="160"/>
    <cellStyle name="Zvýraznenie5" xfId="161"/>
    <cellStyle name="Zvýraznenie5 2" xfId="162"/>
    <cellStyle name="Zvýraznenie6" xfId="163"/>
    <cellStyle name="Zvýraznenie6 2" xfId="164"/>
  </cellStyles>
  <dxfs count="4">
    <dxf>
      <font>
        <color indexed="50"/>
      </font>
    </dxf>
    <dxf>
      <font>
        <color indexed="17"/>
      </font>
    </dxf>
    <dxf>
      <font>
        <color indexed="17"/>
      </font>
    </dxf>
    <dxf>
      <font>
        <color indexed="17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chartsheet" Target="chartsheets/sheet1.xml" /><Relationship Id="rId20" Type="http://schemas.openxmlformats.org/officeDocument/2006/relationships/worksheet" Target="worksheets/sheet19.xml" /><Relationship Id="rId21" Type="http://schemas.openxmlformats.org/officeDocument/2006/relationships/worksheet" Target="worksheets/sheet20.xml" /><Relationship Id="rId22" Type="http://schemas.openxmlformats.org/officeDocument/2006/relationships/worksheet" Target="worksheets/sheet21.xml" /><Relationship Id="rId23" Type="http://schemas.openxmlformats.org/officeDocument/2006/relationships/worksheet" Target="worksheets/sheet22.xml" /><Relationship Id="rId24" Type="http://schemas.openxmlformats.org/officeDocument/2006/relationships/worksheet" Target="worksheets/sheet23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externalLink" Target="externalLinks/externalLink1.xml" /><Relationship Id="rId28" Type="http://schemas.openxmlformats.org/officeDocument/2006/relationships/externalLink" Target="externalLinks/externalLink2.xml" /><Relationship Id="rId29" Type="http://schemas.openxmlformats.org/officeDocument/2006/relationships/externalLink" Target="externalLinks/externalLink3.xml" /><Relationship Id="rId30" Type="http://schemas.openxmlformats.org/officeDocument/2006/relationships/externalLink" Target="externalLinks/externalLink4.xml" /><Relationship Id="rId31" Type="http://schemas.openxmlformats.org/officeDocument/2006/relationships/externalLink" Target="externalLinks/externalLink5.xml" /><Relationship Id="rId32" Type="http://schemas.openxmlformats.org/officeDocument/2006/relationships/externalLink" Target="externalLinks/externalLink6.xml" /><Relationship Id="rId33" Type="http://schemas.openxmlformats.org/officeDocument/2006/relationships/externalLink" Target="externalLinks/externalLink7.xml" /><Relationship Id="rId34" Type="http://schemas.openxmlformats.org/officeDocument/2006/relationships/externalLink" Target="externalLinks/externalLink8.xml" /><Relationship Id="rId35" Type="http://schemas.openxmlformats.org/officeDocument/2006/relationships/externalLink" Target="externalLinks/externalLink9.xml" /><Relationship Id="rId3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Vývoj skutočných príjmov od EAO v roku 2012 v porovnaní s rozpisom rozpočtu na rok 2012 
a skutočnými príjmami v roku 2011 a 2010</a:t>
            </a:r>
          </a:p>
        </c:rich>
      </c:tx>
      <c:layout>
        <c:manualLayout>
          <c:xMode val="factor"/>
          <c:yMode val="factor"/>
          <c:x val="-0.0765"/>
          <c:y val="-0.005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9"/>
          <c:y val="0.06575"/>
          <c:w val="0.9325"/>
          <c:h val="0.80375"/>
        </c:manualLayout>
      </c:layout>
      <c:lineChart>
        <c:grouping val="standard"/>
        <c:varyColors val="0"/>
        <c:ser>
          <c:idx val="0"/>
          <c:order val="0"/>
          <c:tx>
            <c:strRef>
              <c:f>'[7]graf'!$B$8</c:f>
              <c:strCache>
                <c:ptCount val="1"/>
                <c:pt idx="0">
                  <c:v>upravený rozpis rozpočtu príjmov na rok 2012</c:v>
                </c:pt>
              </c:strCache>
            </c:strRef>
          </c:tx>
          <c:spPr>
            <a:ln w="25400">
              <a:solidFill>
                <a:srgbClr val="00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'[7]graf'!$C$4:$N$4</c:f>
              <c:strCache>
                <c:ptCount val="12"/>
                <c:pt idx="0">
                  <c:v>január </c:v>
                </c:pt>
                <c:pt idx="1">
                  <c:v>február</c:v>
                </c:pt>
                <c:pt idx="2">
                  <c:v>marec</c:v>
                </c:pt>
                <c:pt idx="3">
                  <c:v>apríl</c:v>
                </c:pt>
                <c:pt idx="4">
                  <c:v>máj</c:v>
                </c:pt>
                <c:pt idx="5">
                  <c:v>jún</c:v>
                </c:pt>
                <c:pt idx="6">
                  <c:v>júl</c:v>
                </c:pt>
                <c:pt idx="7">
                  <c:v>august</c:v>
                </c:pt>
                <c:pt idx="8">
                  <c:v>september</c:v>
                </c:pt>
                <c:pt idx="9">
                  <c:v>október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'[7]graf'!$C$8:$N$8</c:f>
              <c:numCache>
                <c:ptCount val="12"/>
                <c:pt idx="0">
                  <c:v>414897</c:v>
                </c:pt>
                <c:pt idx="1">
                  <c:v>408673</c:v>
                </c:pt>
                <c:pt idx="2">
                  <c:v>432578</c:v>
                </c:pt>
                <c:pt idx="3">
                  <c:v>424720</c:v>
                </c:pt>
                <c:pt idx="4">
                  <c:v>440925</c:v>
                </c:pt>
                <c:pt idx="5">
                  <c:v>442393</c:v>
                </c:pt>
                <c:pt idx="6">
                  <c:v>450483</c:v>
                </c:pt>
                <c:pt idx="7">
                  <c:v>449991</c:v>
                </c:pt>
                <c:pt idx="8">
                  <c:v>435192</c:v>
                </c:pt>
                <c:pt idx="9">
                  <c:v>453376</c:v>
                </c:pt>
                <c:pt idx="10">
                  <c:v>446136</c:v>
                </c:pt>
                <c:pt idx="11">
                  <c:v>548107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'[7]graf'!$B$9</c:f>
              <c:strCache>
                <c:ptCount val="1"/>
                <c:pt idx="0">
                  <c:v>príjmy od EAO spolu rok 2010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solidFill>
                      <a:srgbClr val="008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'[7]graf'!$C$4:$N$4</c:f>
              <c:strCache>
                <c:ptCount val="12"/>
                <c:pt idx="0">
                  <c:v>január </c:v>
                </c:pt>
                <c:pt idx="1">
                  <c:v>február</c:v>
                </c:pt>
                <c:pt idx="2">
                  <c:v>marec</c:v>
                </c:pt>
                <c:pt idx="3">
                  <c:v>apríl</c:v>
                </c:pt>
                <c:pt idx="4">
                  <c:v>máj</c:v>
                </c:pt>
                <c:pt idx="5">
                  <c:v>jún</c:v>
                </c:pt>
                <c:pt idx="6">
                  <c:v>júl</c:v>
                </c:pt>
                <c:pt idx="7">
                  <c:v>august</c:v>
                </c:pt>
                <c:pt idx="8">
                  <c:v>september</c:v>
                </c:pt>
                <c:pt idx="9">
                  <c:v>október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'[7]graf'!$C$9:$N$9</c:f>
              <c:numCache>
                <c:ptCount val="12"/>
                <c:pt idx="0">
                  <c:v>389552</c:v>
                </c:pt>
                <c:pt idx="1">
                  <c:v>389560</c:v>
                </c:pt>
                <c:pt idx="2">
                  <c:v>396486</c:v>
                </c:pt>
                <c:pt idx="3">
                  <c:v>409657</c:v>
                </c:pt>
                <c:pt idx="4">
                  <c:v>404592</c:v>
                </c:pt>
                <c:pt idx="5">
                  <c:v>409761</c:v>
                </c:pt>
                <c:pt idx="6">
                  <c:v>419820</c:v>
                </c:pt>
                <c:pt idx="7">
                  <c:v>416499</c:v>
                </c:pt>
                <c:pt idx="8">
                  <c:v>397403</c:v>
                </c:pt>
                <c:pt idx="9">
                  <c:v>419161</c:v>
                </c:pt>
                <c:pt idx="10">
                  <c:v>415393</c:v>
                </c:pt>
                <c:pt idx="11">
                  <c:v>512226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'[7]graf'!$B$10</c:f>
              <c:strCache>
                <c:ptCount val="1"/>
                <c:pt idx="0">
                  <c:v>príjmy od EAO spolu rok 2011 bez oddlženia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FF66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delete val="1"/>
            </c:dLbl>
            <c:dLbl>
              <c:idx val="11"/>
              <c:delete val="1"/>
            </c:dLbl>
            <c:numFmt formatCode="#,##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solidFill>
                      <a:srgbClr val="FF66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'[7]graf'!$C$4:$N$4</c:f>
              <c:strCache>
                <c:ptCount val="12"/>
                <c:pt idx="0">
                  <c:v>január </c:v>
                </c:pt>
                <c:pt idx="1">
                  <c:v>február</c:v>
                </c:pt>
                <c:pt idx="2">
                  <c:v>marec</c:v>
                </c:pt>
                <c:pt idx="3">
                  <c:v>apríl</c:v>
                </c:pt>
                <c:pt idx="4">
                  <c:v>máj</c:v>
                </c:pt>
                <c:pt idx="5">
                  <c:v>jún</c:v>
                </c:pt>
                <c:pt idx="6">
                  <c:v>júl</c:v>
                </c:pt>
                <c:pt idx="7">
                  <c:v>august</c:v>
                </c:pt>
                <c:pt idx="8">
                  <c:v>september</c:v>
                </c:pt>
                <c:pt idx="9">
                  <c:v>október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'[7]graf'!$C$10:$N$10</c:f>
              <c:numCache>
                <c:ptCount val="12"/>
                <c:pt idx="0">
                  <c:v>413261</c:v>
                </c:pt>
                <c:pt idx="1">
                  <c:v>405617</c:v>
                </c:pt>
                <c:pt idx="2">
                  <c:v>430883</c:v>
                </c:pt>
                <c:pt idx="3">
                  <c:v>421427</c:v>
                </c:pt>
                <c:pt idx="4">
                  <c:v>437860</c:v>
                </c:pt>
                <c:pt idx="5">
                  <c:v>439195</c:v>
                </c:pt>
                <c:pt idx="6">
                  <c:v>447037</c:v>
                </c:pt>
                <c:pt idx="7">
                  <c:v>446355</c:v>
                </c:pt>
                <c:pt idx="8">
                  <c:v>431593</c:v>
                </c:pt>
                <c:pt idx="9">
                  <c:v>449599</c:v>
                </c:pt>
                <c:pt idx="10">
                  <c:v>442321</c:v>
                </c:pt>
                <c:pt idx="11">
                  <c:v>538382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'[7]graf'!$B$11</c:f>
              <c:strCache>
                <c:ptCount val="1"/>
                <c:pt idx="0">
                  <c:v>príjmy od EAO spolu rok 2011 vrátane oddlženia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3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FF66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FF66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FF66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FF66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FF66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solidFill>
                      <a:srgbClr val="FF66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'[7]graf'!$C$4:$N$4</c:f>
              <c:strCache>
                <c:ptCount val="12"/>
                <c:pt idx="0">
                  <c:v>január </c:v>
                </c:pt>
                <c:pt idx="1">
                  <c:v>február</c:v>
                </c:pt>
                <c:pt idx="2">
                  <c:v>marec</c:v>
                </c:pt>
                <c:pt idx="3">
                  <c:v>apríl</c:v>
                </c:pt>
                <c:pt idx="4">
                  <c:v>máj</c:v>
                </c:pt>
                <c:pt idx="5">
                  <c:v>jún</c:v>
                </c:pt>
                <c:pt idx="6">
                  <c:v>júl</c:v>
                </c:pt>
                <c:pt idx="7">
                  <c:v>august</c:v>
                </c:pt>
                <c:pt idx="8">
                  <c:v>september</c:v>
                </c:pt>
                <c:pt idx="9">
                  <c:v>október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'[7]graf'!$C$11:$N$11</c:f>
              <c:numCache>
                <c:ptCount val="12"/>
                <c:pt idx="0">
                  <c:v>413261</c:v>
                </c:pt>
                <c:pt idx="1">
                  <c:v>405617</c:v>
                </c:pt>
                <c:pt idx="2">
                  <c:v>430883</c:v>
                </c:pt>
                <c:pt idx="3">
                  <c:v>421427</c:v>
                </c:pt>
                <c:pt idx="4">
                  <c:v>437860</c:v>
                </c:pt>
                <c:pt idx="5">
                  <c:v>439195</c:v>
                </c:pt>
                <c:pt idx="6">
                  <c:v>447037</c:v>
                </c:pt>
                <c:pt idx="7">
                  <c:v>446355</c:v>
                </c:pt>
                <c:pt idx="8">
                  <c:v>431593</c:v>
                </c:pt>
                <c:pt idx="9">
                  <c:v>508667</c:v>
                </c:pt>
                <c:pt idx="10">
                  <c:v>442321</c:v>
                </c:pt>
                <c:pt idx="11">
                  <c:v>538382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'[7]graf'!$B$12</c:f>
              <c:strCache>
                <c:ptCount val="1"/>
                <c:pt idx="0">
                  <c:v>príjmy od EAO spolu rok 2012 vrátane oddĺženia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'[7]graf'!$C$4:$N$4</c:f>
              <c:strCache>
                <c:ptCount val="12"/>
                <c:pt idx="0">
                  <c:v>január </c:v>
                </c:pt>
                <c:pt idx="1">
                  <c:v>február</c:v>
                </c:pt>
                <c:pt idx="2">
                  <c:v>marec</c:v>
                </c:pt>
                <c:pt idx="3">
                  <c:v>apríl</c:v>
                </c:pt>
                <c:pt idx="4">
                  <c:v>máj</c:v>
                </c:pt>
                <c:pt idx="5">
                  <c:v>jún</c:v>
                </c:pt>
                <c:pt idx="6">
                  <c:v>júl</c:v>
                </c:pt>
                <c:pt idx="7">
                  <c:v>august</c:v>
                </c:pt>
                <c:pt idx="8">
                  <c:v>september</c:v>
                </c:pt>
                <c:pt idx="9">
                  <c:v>október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'[7]graf'!$C$12:$N$12</c:f>
              <c:numCache>
                <c:ptCount val="12"/>
                <c:pt idx="0">
                  <c:v>445863</c:v>
                </c:pt>
                <c:pt idx="1">
                  <c:v>436816</c:v>
                </c:pt>
                <c:pt idx="2">
                  <c:v>427059.55717000004</c:v>
                </c:pt>
                <c:pt idx="3">
                  <c:v>438139.44282999996</c:v>
                </c:pt>
                <c:pt idx="4">
                  <c:v>448976</c:v>
                </c:pt>
                <c:pt idx="5">
                  <c:v>451458</c:v>
                </c:pt>
                <c:pt idx="6">
                  <c:v>467118.80834000005</c:v>
                </c:pt>
                <c:pt idx="7">
                  <c:v>459276</c:v>
                </c:pt>
                <c:pt idx="8">
                  <c:v>443517</c:v>
                </c:pt>
                <c:pt idx="9">
                  <c:v>457603</c:v>
                </c:pt>
                <c:pt idx="10">
                  <c:v>453280</c:v>
                </c:pt>
                <c:pt idx="11">
                  <c:v>551704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'[7]graf'!$B$13</c:f>
              <c:strCache>
                <c:ptCount val="1"/>
                <c:pt idx="0">
                  <c:v>príjmy od EAO spolu rok 2012 bez  oddĺženia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600" b="1" i="0" u="none" baseline="0">
                        <a:solidFill>
                          <a:srgbClr val="FF0000"/>
                        </a:solidFill>
                        <a:latin typeface="Arial"/>
                        <a:ea typeface="Arial"/>
                        <a:cs typeface="Arial"/>
                      </a:rPr>
                      <a:t>541</a:t>
                    </a:r>
                    <a:r>
                      <a:rPr lang="en-US" cap="none" sz="1600" b="1" i="0" u="none" baseline="0">
                        <a:solidFill>
                          <a:srgbClr val="FF0000"/>
                        </a:solidFill>
                        <a:latin typeface="Arial"/>
                        <a:ea typeface="Arial"/>
                        <a:cs typeface="Arial"/>
                      </a:rPr>
                      <a:t> </a:t>
                    </a:r>
                    <a:r>
                      <a:rPr lang="en-US" cap="none" sz="1600" b="1" i="0" u="none" baseline="0">
                        <a:solidFill>
                          <a:srgbClr val="FF0000"/>
                        </a:solidFill>
                        <a:latin typeface="Arial"/>
                        <a:ea typeface="Arial"/>
                        <a:cs typeface="Arial"/>
                      </a:rPr>
                      <a:t>304</a:t>
                    </a:r>
                  </a:p>
                </c:rich>
              </c:tx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20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'[7]graf'!$C$4:$N$4</c:f>
              <c:strCache>
                <c:ptCount val="12"/>
                <c:pt idx="0">
                  <c:v>január </c:v>
                </c:pt>
                <c:pt idx="1">
                  <c:v>február</c:v>
                </c:pt>
                <c:pt idx="2">
                  <c:v>marec</c:v>
                </c:pt>
                <c:pt idx="3">
                  <c:v>apríl</c:v>
                </c:pt>
                <c:pt idx="4">
                  <c:v>máj</c:v>
                </c:pt>
                <c:pt idx="5">
                  <c:v>jún</c:v>
                </c:pt>
                <c:pt idx="6">
                  <c:v>júl</c:v>
                </c:pt>
                <c:pt idx="7">
                  <c:v>august</c:v>
                </c:pt>
                <c:pt idx="8">
                  <c:v>september</c:v>
                </c:pt>
                <c:pt idx="9">
                  <c:v>október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'[7]graf'!$C$13:$N$13</c:f>
              <c:numCache>
                <c:ptCount val="12"/>
                <c:pt idx="0">
                  <c:v>445863</c:v>
                </c:pt>
                <c:pt idx="1">
                  <c:v>436816</c:v>
                </c:pt>
                <c:pt idx="2">
                  <c:v>427059.55717000004</c:v>
                </c:pt>
                <c:pt idx="3">
                  <c:v>438139.44282999996</c:v>
                </c:pt>
                <c:pt idx="4">
                  <c:v>448976</c:v>
                </c:pt>
                <c:pt idx="5">
                  <c:v>451458</c:v>
                </c:pt>
                <c:pt idx="6">
                  <c:v>467118.80834000005</c:v>
                </c:pt>
                <c:pt idx="7">
                  <c:v>459276</c:v>
                </c:pt>
                <c:pt idx="8">
                  <c:v>443517</c:v>
                </c:pt>
                <c:pt idx="9">
                  <c:v>457603</c:v>
                </c:pt>
                <c:pt idx="10">
                  <c:v>453280</c:v>
                </c:pt>
                <c:pt idx="11">
                  <c:v>541304</c:v>
                </c:pt>
              </c:numCache>
            </c:numRef>
          </c:val>
          <c:smooth val="0"/>
        </c:ser>
        <c:marker val="1"/>
        <c:axId val="26376547"/>
        <c:axId val="36062332"/>
      </c:lineChart>
      <c:catAx>
        <c:axId val="263765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062332"/>
        <c:crossesAt val="0"/>
        <c:auto val="1"/>
        <c:lblOffset val="100"/>
        <c:tickLblSkip val="1"/>
        <c:noMultiLvlLbl val="0"/>
      </c:catAx>
      <c:valAx>
        <c:axId val="36062332"/>
        <c:scaling>
          <c:orientation val="minMax"/>
          <c:max val="565000"/>
          <c:min val="385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príjmy od EAO spolu v tis. Eur</a:t>
                </a:r>
              </a:p>
            </c:rich>
          </c:tx>
          <c:layout>
            <c:manualLayout>
              <c:xMode val="factor"/>
              <c:yMode val="factor"/>
              <c:x val="-0.013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376547"/>
        <c:crossesAt val="1"/>
        <c:crossBetween val="between"/>
        <c:dispUnits/>
        <c:majorUnit val="20000"/>
        <c:minorUnit val="20000"/>
      </c:valAx>
      <c:spPr>
        <a:noFill/>
        <a:ln w="3175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05525"/>
          <c:y val="0.92475"/>
          <c:w val="0.922"/>
          <c:h val="0.053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Pohľadávky na poistnom a príspevkoch na SDS celkom (účet 316) v tis. Eur</a:t>
            </a:r>
          </a:p>
        </c:rich>
      </c:tx>
      <c:layout>
        <c:manualLayout>
          <c:xMode val="factor"/>
          <c:yMode val="factor"/>
          <c:x val="-0.00075"/>
          <c:y val="-0.0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475"/>
          <c:y val="0.20475"/>
          <c:w val="0.8965"/>
          <c:h val="0.794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'[8]Vývoj pohľadávok'!$B$37:$B$50</c:f>
              <c:strCache>
                <c:ptCount val="14"/>
                <c:pt idx="0">
                  <c:v>k 31.12.2010</c:v>
                </c:pt>
                <c:pt idx="1">
                  <c:v> k 31.12.2011</c:v>
                </c:pt>
                <c:pt idx="2">
                  <c:v> k 31.1.2012</c:v>
                </c:pt>
                <c:pt idx="3">
                  <c:v> k 29.2.2012</c:v>
                </c:pt>
                <c:pt idx="4">
                  <c:v>k 31.3.2012</c:v>
                </c:pt>
                <c:pt idx="5">
                  <c:v> k 30.4.2012</c:v>
                </c:pt>
                <c:pt idx="6">
                  <c:v> k 31.5.2012</c:v>
                </c:pt>
                <c:pt idx="7">
                  <c:v>k 30.6.2012</c:v>
                </c:pt>
                <c:pt idx="8">
                  <c:v>k 31.7.2012</c:v>
                </c:pt>
                <c:pt idx="9">
                  <c:v>k 31.8.2012</c:v>
                </c:pt>
                <c:pt idx="10">
                  <c:v>k 30.9.2012</c:v>
                </c:pt>
                <c:pt idx="11">
                  <c:v>k 31.10.2012</c:v>
                </c:pt>
                <c:pt idx="12">
                  <c:v>k 30.11.2012</c:v>
                </c:pt>
                <c:pt idx="13">
                  <c:v>k 31.12.2012</c:v>
                </c:pt>
              </c:strCache>
            </c:strRef>
          </c:cat>
          <c:val>
            <c:numRef>
              <c:f>'[8]Vývoj pohľadávok'!$C$37:$C$50</c:f>
              <c:numCache>
                <c:ptCount val="14"/>
                <c:pt idx="0">
                  <c:v>823205</c:v>
                </c:pt>
                <c:pt idx="1">
                  <c:v>563760.21517</c:v>
                </c:pt>
                <c:pt idx="2">
                  <c:v>621385.1175399999</c:v>
                </c:pt>
                <c:pt idx="3">
                  <c:v>613417.9958500001</c:v>
                </c:pt>
                <c:pt idx="4">
                  <c:v>622231.79929</c:v>
                </c:pt>
                <c:pt idx="5">
                  <c:v>629846.9372499998</c:v>
                </c:pt>
                <c:pt idx="6">
                  <c:v>637343.2580500001</c:v>
                </c:pt>
                <c:pt idx="7">
                  <c:v>661575.63127</c:v>
                </c:pt>
                <c:pt idx="8">
                  <c:v>667871.9956</c:v>
                </c:pt>
                <c:pt idx="9">
                  <c:v>663342.4262699998</c:v>
                </c:pt>
                <c:pt idx="10">
                  <c:v>655571.74714</c:v>
                </c:pt>
                <c:pt idx="11">
                  <c:v>641927.6018200002</c:v>
                </c:pt>
                <c:pt idx="12">
                  <c:v>651771.5945700001</c:v>
                </c:pt>
                <c:pt idx="13">
                  <c:v>595319.5196600001</c:v>
                </c:pt>
              </c:numCache>
            </c:numRef>
          </c:val>
        </c:ser>
        <c:axId val="56125533"/>
        <c:axId val="35367750"/>
      </c:barChart>
      <c:catAx>
        <c:axId val="561255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96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5367750"/>
        <c:crosses val="autoZero"/>
        <c:auto val="1"/>
        <c:lblOffset val="100"/>
        <c:tickLblSkip val="1"/>
        <c:noMultiLvlLbl val="0"/>
      </c:catAx>
      <c:valAx>
        <c:axId val="35367750"/>
        <c:scaling>
          <c:orientation val="minMax"/>
        </c:scaling>
        <c:axPos val="l"/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612553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Časový vývoj použitia správneho fondu v jednotlivých mesiacoch v roku 2011 a 2012</a:t>
            </a:r>
          </a:p>
        </c:rich>
      </c:tx>
      <c:layout>
        <c:manualLayout>
          <c:xMode val="factor"/>
          <c:yMode val="factor"/>
          <c:x val="0.00075"/>
          <c:y val="-0.00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875"/>
          <c:y val="0.10475"/>
          <c:w val="0.961"/>
          <c:h val="0.72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'[9]zdroj'!$A$13</c:f>
              <c:strCache>
                <c:ptCount val="1"/>
                <c:pt idx="0">
                  <c:v>Správny fond v roku 2011 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'[9]zdroj'!$B$12:$M$12</c:f>
              <c:strCache>
                <c:ptCount val="12"/>
                <c:pt idx="0">
                  <c:v> Január </c:v>
                </c:pt>
                <c:pt idx="1">
                  <c:v> Február </c:v>
                </c:pt>
                <c:pt idx="2">
                  <c:v>Marec</c:v>
                </c:pt>
                <c:pt idx="3">
                  <c:v>Apríl</c:v>
                </c:pt>
                <c:pt idx="4">
                  <c:v>Máj</c:v>
                </c:pt>
                <c:pt idx="5">
                  <c:v>Jún</c:v>
                </c:pt>
                <c:pt idx="6">
                  <c:v>Júl</c:v>
                </c:pt>
                <c:pt idx="7">
                  <c:v>August</c:v>
                </c:pt>
                <c:pt idx="8">
                  <c:v>September</c:v>
                </c:pt>
                <c:pt idx="9">
                  <c:v>Október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'[9]zdroj'!$B$13:$M$13</c:f>
              <c:numCache>
                <c:ptCount val="12"/>
                <c:pt idx="0">
                  <c:v>7433561</c:v>
                </c:pt>
                <c:pt idx="1">
                  <c:v>9694312</c:v>
                </c:pt>
                <c:pt idx="2">
                  <c:v>9094152</c:v>
                </c:pt>
                <c:pt idx="3">
                  <c:v>10057790</c:v>
                </c:pt>
                <c:pt idx="4">
                  <c:v>10297171</c:v>
                </c:pt>
                <c:pt idx="5">
                  <c:v>8105980</c:v>
                </c:pt>
                <c:pt idx="6">
                  <c:v>9896131</c:v>
                </c:pt>
                <c:pt idx="7">
                  <c:v>8129413</c:v>
                </c:pt>
                <c:pt idx="8">
                  <c:v>7621936</c:v>
                </c:pt>
                <c:pt idx="9">
                  <c:v>8194299</c:v>
                </c:pt>
                <c:pt idx="10">
                  <c:v>10997308</c:v>
                </c:pt>
                <c:pt idx="11">
                  <c:v>16716252</c:v>
                </c:pt>
              </c:numCache>
            </c:numRef>
          </c:val>
        </c:ser>
        <c:ser>
          <c:idx val="2"/>
          <c:order val="1"/>
          <c:tx>
            <c:strRef>
              <c:f>'[9]zdroj'!$A$14</c:f>
              <c:strCache>
                <c:ptCount val="1"/>
                <c:pt idx="0">
                  <c:v>Správny fond v roku 2012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'[9]zdroj'!$B$12:$M$12</c:f>
              <c:strCache>
                <c:ptCount val="12"/>
                <c:pt idx="0">
                  <c:v> Január </c:v>
                </c:pt>
                <c:pt idx="1">
                  <c:v> Február </c:v>
                </c:pt>
                <c:pt idx="2">
                  <c:v>Marec</c:v>
                </c:pt>
                <c:pt idx="3">
                  <c:v>Apríl</c:v>
                </c:pt>
                <c:pt idx="4">
                  <c:v>Máj</c:v>
                </c:pt>
                <c:pt idx="5">
                  <c:v>Jún</c:v>
                </c:pt>
                <c:pt idx="6">
                  <c:v>Júl</c:v>
                </c:pt>
                <c:pt idx="7">
                  <c:v>August</c:v>
                </c:pt>
                <c:pt idx="8">
                  <c:v>September</c:v>
                </c:pt>
                <c:pt idx="9">
                  <c:v>Október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'[9]zdroj'!$B$14:$M$14</c:f>
              <c:numCache>
                <c:ptCount val="12"/>
                <c:pt idx="0">
                  <c:v>8606667</c:v>
                </c:pt>
                <c:pt idx="1">
                  <c:v>8662871</c:v>
                </c:pt>
                <c:pt idx="2">
                  <c:v>8342284</c:v>
                </c:pt>
                <c:pt idx="3">
                  <c:v>9988998</c:v>
                </c:pt>
                <c:pt idx="4">
                  <c:v>8359113</c:v>
                </c:pt>
                <c:pt idx="5">
                  <c:v>8434884</c:v>
                </c:pt>
                <c:pt idx="6">
                  <c:v>9373749</c:v>
                </c:pt>
                <c:pt idx="7">
                  <c:v>8421462</c:v>
                </c:pt>
                <c:pt idx="8">
                  <c:v>8500459</c:v>
                </c:pt>
                <c:pt idx="9">
                  <c:v>8702050</c:v>
                </c:pt>
                <c:pt idx="10">
                  <c:v>8335463</c:v>
                </c:pt>
                <c:pt idx="11">
                  <c:v>16908446</c:v>
                </c:pt>
              </c:numCache>
            </c:numRef>
          </c:val>
        </c:ser>
        <c:axId val="49874295"/>
        <c:axId val="46215472"/>
      </c:barChart>
      <c:catAx>
        <c:axId val="49874295"/>
        <c:scaling>
          <c:orientation val="minMax"/>
        </c:scaling>
        <c:axPos val="b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Euro</a:t>
                </a:r>
              </a:p>
            </c:rich>
          </c:tx>
          <c:layout>
            <c:manualLayout>
              <c:xMode val="factor"/>
              <c:yMode val="factor"/>
              <c:x val="0.16"/>
              <c:y val="-0.155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215472"/>
        <c:crosses val="autoZero"/>
        <c:auto val="1"/>
        <c:lblOffset val="100"/>
        <c:tickLblSkip val="1"/>
        <c:noMultiLvlLbl val="0"/>
      </c:catAx>
      <c:valAx>
        <c:axId val="4621547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87429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3525"/>
          <c:y val="0.86"/>
          <c:w val="0.4295"/>
          <c:h val="0.078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4921259845" footer="0.4921259845"/>
  <pageSetup fitToHeight="0" fitToWidth="0"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161925</xdr:rowOff>
    </xdr:from>
    <xdr:to>
      <xdr:col>25</xdr:col>
      <xdr:colOff>161925</xdr:colOff>
      <xdr:row>58</xdr:row>
      <xdr:rowOff>161925</xdr:rowOff>
    </xdr:to>
    <xdr:graphicFrame>
      <xdr:nvGraphicFramePr>
        <xdr:cNvPr id="1" name="Graf 3"/>
        <xdr:cNvGraphicFramePr/>
      </xdr:nvGraphicFramePr>
      <xdr:xfrm>
        <a:off x="609600" y="323850"/>
        <a:ext cx="14792325" cy="922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16</xdr:col>
      <xdr:colOff>28575</xdr:colOff>
      <xdr:row>25</xdr:row>
      <xdr:rowOff>142875</xdr:rowOff>
    </xdr:to>
    <xdr:graphicFrame>
      <xdr:nvGraphicFramePr>
        <xdr:cNvPr id="1" name="Graf 6"/>
        <xdr:cNvGraphicFramePr/>
      </xdr:nvGraphicFramePr>
      <xdr:xfrm>
        <a:off x="609600" y="876300"/>
        <a:ext cx="9229725" cy="4029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0" y="0"/>
          <a:ext cx="0" cy="0"/>
        </a:xfrm>
        <a:prstGeom prst="line">
          <a:avLst/>
        </a:prstGeom>
        <a:noFill/>
        <a:ln w="38100" cmpd="sng">
          <a:solidFill>
            <a:srgbClr val="8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 flipV="1">
          <a:off x="0" y="0"/>
          <a:ext cx="0" cy="0"/>
        </a:xfrm>
        <a:prstGeom prst="line">
          <a:avLst/>
        </a:prstGeom>
        <a:noFill/>
        <a:ln w="38100" cmpd="sng">
          <a:solidFill>
            <a:srgbClr val="8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0" y="0"/>
          <a:ext cx="0" cy="0"/>
        </a:xfrm>
        <a:prstGeom prst="line">
          <a:avLst/>
        </a:prstGeom>
        <a:noFill/>
        <a:ln w="38100" cmpd="sng">
          <a:solidFill>
            <a:srgbClr val="8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 flipV="1">
          <a:off x="0" y="0"/>
          <a:ext cx="0" cy="0"/>
        </a:xfrm>
        <a:prstGeom prst="line">
          <a:avLst/>
        </a:prstGeom>
        <a:noFill/>
        <a:ln w="38100" cmpd="sng">
          <a:solidFill>
            <a:srgbClr val="8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96400" cy="5715000"/>
    <xdr:graphicFrame>
      <xdr:nvGraphicFramePr>
        <xdr:cNvPr id="1" name="Shape 1025"/>
        <xdr:cNvGraphicFramePr/>
      </xdr:nvGraphicFramePr>
      <xdr:xfrm>
        <a:off x="0" y="0"/>
        <a:ext cx="929640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Gopas\priklady%20-%20Excel%20II\cvicne%20soubory\citlivostni%20analyz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obert%20Pecha&#269;\Dokumenty\Excel%20III\moje\pokroca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rahaservice\materialy\Dokumenty\excel\cvic\TEST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ba-dejczoova_e\AppData\Local\Microsoft\Windows\Temporary%20Internet%20Files\Content.Outlook\PUCJRSDW\rozdelenie%20zam.%20pobo&#269;iek\Gopas\priklady%20-%20Excel%20II\cvicne%20soubory\citlivostni%20analyza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kumenty\excel\cvic\TEST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kumenty\excel\cvic\TEST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martina%20excel\skuto&#269;nos&#357;%202012\vedenie%20graf%202012\graf%20I%20-XII%20%202011%20%20a%20janu&#225;r%20a&#382;%20december%202012%2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BA-ILKOVA_L\AppData\Local\Microsoft\Windows\Temporary%20Internet%20Files\Content.Outlook\3B2WQXO3\Preh&#318;ady%20k%2031_12_2012_%20&#250;stredie_poh&#318;.L%2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brucknerova_j\Moje%20dokumenty\Jarmila\Rozbory\rok%202012\plnenie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ntabilita - zadání"/>
      <sheetName val="Rentabilita - řešení"/>
      <sheetName val="Budoucí hodnota - zadání"/>
      <sheetName val="Budoucí hodnota - řešení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Osnova"/>
      <sheetName val="Konting"/>
      <sheetName val="chyby"/>
      <sheetName val="Pole"/>
      <sheetName val="PodVS"/>
      <sheetName val="PodV1"/>
      <sheetName val="D-Funkce"/>
      <sheetName val="PodV2"/>
      <sheetName val="Hledání"/>
      <sheetName val="Zákl.Stat"/>
      <sheetName val="Hypotézy"/>
      <sheetName val="anova"/>
      <sheetName val="Regr. přímka"/>
      <sheetName val="Vícen. regrese"/>
      <sheetName val="Regr. parabola"/>
      <sheetName val="Scénář"/>
      <sheetName val="Pekař"/>
      <sheetName val="Doprava"/>
      <sheetName val="Hledání řešení"/>
      <sheetName val="Tabulka"/>
      <sheetName val="Kursy"/>
      <sheetName val="Novinky"/>
    </sheetNames>
    <sheetDataSet>
      <sheetData sheetId="15">
        <row r="15">
          <cell r="E15">
            <v>3199930.7308359966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est1"/>
      <sheetName val="Test2"/>
      <sheetName val="Funkce listu"/>
      <sheetName val="List2"/>
      <sheetName val="List3"/>
      <sheetName val="Souhrn"/>
      <sheetName val="chyby"/>
      <sheetName val="List6"/>
      <sheetName val="Modul1"/>
      <sheetName val="List7"/>
      <sheetName val="List8"/>
      <sheetName val="List9"/>
      <sheetName val="List10"/>
      <sheetName val="List11"/>
      <sheetName val="List12"/>
      <sheetName val="List13"/>
      <sheetName val="List14"/>
    </sheetNames>
    <sheetDataSet>
      <sheetData sheetId="0">
        <row r="89">
          <cell r="B89" t="str">
            <v>Zboží</v>
          </cell>
          <cell r="C89" t="str">
            <v>Množství</v>
          </cell>
          <cell r="D89" t="str">
            <v>Cena</v>
          </cell>
        </row>
        <row r="90">
          <cell r="B90" t="str">
            <v>Mléko</v>
          </cell>
          <cell r="C90">
            <v>125</v>
          </cell>
          <cell r="D90">
            <v>9.2</v>
          </cell>
        </row>
        <row r="91">
          <cell r="B91" t="str">
            <v>Máslo</v>
          </cell>
          <cell r="C91">
            <v>16</v>
          </cell>
          <cell r="D91">
            <v>22.5</v>
          </cell>
        </row>
        <row r="92">
          <cell r="B92" t="str">
            <v>Sýr Eidam</v>
          </cell>
          <cell r="C92">
            <v>19</v>
          </cell>
          <cell r="D92">
            <v>10.2</v>
          </cell>
        </row>
        <row r="93">
          <cell r="B93" t="str">
            <v>Sýr Ementál</v>
          </cell>
          <cell r="C93">
            <v>21</v>
          </cell>
          <cell r="D93">
            <v>15.3</v>
          </cell>
        </row>
        <row r="94">
          <cell r="B94" t="str">
            <v>Vejce</v>
          </cell>
          <cell r="C94">
            <v>852</v>
          </cell>
          <cell r="D94">
            <v>2.2</v>
          </cell>
        </row>
        <row r="95">
          <cell r="B95" t="str">
            <v>Jemný sýr kapiový</v>
          </cell>
          <cell r="C95">
            <v>58</v>
          </cell>
          <cell r="D95">
            <v>9.8</v>
          </cell>
        </row>
        <row r="96">
          <cell r="B96" t="str">
            <v>Tavený sýr</v>
          </cell>
          <cell r="C96">
            <v>45</v>
          </cell>
          <cell r="D96">
            <v>2.2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Rentabilita - zadání"/>
      <sheetName val="Rentabilita - řešení"/>
      <sheetName val="Budoucí hodnota - zadání"/>
      <sheetName val="Budoucí hodnota - řešení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Test1"/>
      <sheetName val="Test2"/>
      <sheetName val="Funkce listu"/>
      <sheetName val="List2"/>
      <sheetName val="List3"/>
      <sheetName val="Souhrn"/>
      <sheetName val="chyby"/>
      <sheetName val="List6"/>
      <sheetName val="List7"/>
      <sheetName val="List8"/>
      <sheetName val="List9"/>
      <sheetName val="List10"/>
      <sheetName val="List11"/>
      <sheetName val="List12"/>
      <sheetName val="List13"/>
      <sheetName val="List14"/>
    </sheetNames>
    <sheetDataSet>
      <sheetData sheetId="0">
        <row r="89">
          <cell r="B89" t="str">
            <v>Zboží</v>
          </cell>
          <cell r="C89" t="str">
            <v>Množství</v>
          </cell>
          <cell r="D89" t="str">
            <v>Cena</v>
          </cell>
        </row>
        <row r="90">
          <cell r="B90" t="str">
            <v>Mléko</v>
          </cell>
          <cell r="C90">
            <v>125</v>
          </cell>
          <cell r="D90">
            <v>9.2</v>
          </cell>
        </row>
        <row r="91">
          <cell r="B91" t="str">
            <v>Máslo</v>
          </cell>
          <cell r="C91">
            <v>16</v>
          </cell>
          <cell r="D91">
            <v>22.5</v>
          </cell>
        </row>
        <row r="92">
          <cell r="B92" t="str">
            <v>Sýr Eidam</v>
          </cell>
          <cell r="C92">
            <v>19</v>
          </cell>
          <cell r="D92">
            <v>10.2</v>
          </cell>
        </row>
        <row r="93">
          <cell r="B93" t="str">
            <v>Sýr Ementál</v>
          </cell>
          <cell r="C93">
            <v>21</v>
          </cell>
          <cell r="D93">
            <v>15.3</v>
          </cell>
        </row>
        <row r="94">
          <cell r="B94" t="str">
            <v>Vejce</v>
          </cell>
          <cell r="C94">
            <v>852</v>
          </cell>
          <cell r="D94">
            <v>2.2</v>
          </cell>
        </row>
        <row r="95">
          <cell r="B95" t="str">
            <v>Jemný sýr kapiový</v>
          </cell>
          <cell r="C95">
            <v>58</v>
          </cell>
          <cell r="D95">
            <v>9.8</v>
          </cell>
        </row>
        <row r="96">
          <cell r="B96" t="str">
            <v>Tavený sýr</v>
          </cell>
          <cell r="C96">
            <v>45</v>
          </cell>
          <cell r="D96">
            <v>2.2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Test1"/>
      <sheetName val="Test2"/>
      <sheetName val="Funkce listu"/>
      <sheetName val="List2"/>
      <sheetName val="List3"/>
      <sheetName val="Souhrn"/>
      <sheetName val="chyby"/>
      <sheetName val="List6"/>
      <sheetName val="List7"/>
      <sheetName val="List8"/>
      <sheetName val="List9"/>
      <sheetName val="List10"/>
      <sheetName val="List11"/>
      <sheetName val="List12"/>
      <sheetName val="List13"/>
      <sheetName val="List14"/>
    </sheetNames>
    <sheetDataSet>
      <sheetData sheetId="0">
        <row r="89">
          <cell r="B89" t="str">
            <v>Zboží</v>
          </cell>
          <cell r="C89" t="str">
            <v>Množství</v>
          </cell>
          <cell r="D89" t="str">
            <v>Cena</v>
          </cell>
        </row>
        <row r="90">
          <cell r="B90" t="str">
            <v>Mléko</v>
          </cell>
          <cell r="C90">
            <v>125</v>
          </cell>
          <cell r="D90">
            <v>9.2</v>
          </cell>
        </row>
        <row r="91">
          <cell r="B91" t="str">
            <v>Máslo</v>
          </cell>
          <cell r="C91">
            <v>16</v>
          </cell>
          <cell r="D91">
            <v>22.5</v>
          </cell>
        </row>
        <row r="92">
          <cell r="B92" t="str">
            <v>Sýr Eidam</v>
          </cell>
          <cell r="C92">
            <v>19</v>
          </cell>
          <cell r="D92">
            <v>10.2</v>
          </cell>
        </row>
        <row r="93">
          <cell r="B93" t="str">
            <v>Sýr Ementál</v>
          </cell>
          <cell r="C93">
            <v>21</v>
          </cell>
          <cell r="D93">
            <v>15.3</v>
          </cell>
        </row>
        <row r="94">
          <cell r="B94" t="str">
            <v>Vejce</v>
          </cell>
          <cell r="C94">
            <v>852</v>
          </cell>
          <cell r="D94">
            <v>2.2</v>
          </cell>
        </row>
        <row r="95">
          <cell r="B95" t="str">
            <v>Jemný sýr kapiový</v>
          </cell>
          <cell r="C95">
            <v>58</v>
          </cell>
          <cell r="D95">
            <v>9.8</v>
          </cell>
        </row>
        <row r="96">
          <cell r="B96" t="str">
            <v>Tavený sýr</v>
          </cell>
          <cell r="C96">
            <v>45</v>
          </cell>
          <cell r="D96">
            <v>2.2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raf"/>
      <sheetName val="Hárok1"/>
    </sheetNames>
    <sheetDataSet>
      <sheetData sheetId="0">
        <row r="4">
          <cell r="C4" t="str">
            <v>január </v>
          </cell>
          <cell r="D4" t="str">
            <v>február</v>
          </cell>
          <cell r="E4" t="str">
            <v>marec</v>
          </cell>
          <cell r="F4" t="str">
            <v>apríl</v>
          </cell>
          <cell r="G4" t="str">
            <v>máj</v>
          </cell>
          <cell r="H4" t="str">
            <v>jún</v>
          </cell>
          <cell r="I4" t="str">
            <v>júl</v>
          </cell>
          <cell r="J4" t="str">
            <v>august</v>
          </cell>
          <cell r="K4" t="str">
            <v>september</v>
          </cell>
          <cell r="L4" t="str">
            <v>október</v>
          </cell>
          <cell r="M4" t="str">
            <v>november</v>
          </cell>
          <cell r="N4" t="str">
            <v>december</v>
          </cell>
        </row>
        <row r="8">
          <cell r="B8" t="str">
            <v>upravený rozpis rozpočtu príjmov na rok 2012</v>
          </cell>
          <cell r="C8">
            <v>414897</v>
          </cell>
          <cell r="D8">
            <v>408673</v>
          </cell>
          <cell r="E8">
            <v>432578</v>
          </cell>
          <cell r="F8">
            <v>424720</v>
          </cell>
          <cell r="G8">
            <v>440925</v>
          </cell>
          <cell r="H8">
            <v>442393</v>
          </cell>
          <cell r="I8">
            <v>450483</v>
          </cell>
          <cell r="J8">
            <v>449991</v>
          </cell>
          <cell r="K8">
            <v>435192</v>
          </cell>
          <cell r="L8">
            <v>453376</v>
          </cell>
          <cell r="M8">
            <v>446136</v>
          </cell>
          <cell r="N8">
            <v>548107</v>
          </cell>
        </row>
        <row r="9">
          <cell r="B9" t="str">
            <v>príjmy od EAO spolu rok 2010</v>
          </cell>
          <cell r="C9">
            <v>389552</v>
          </cell>
          <cell r="D9">
            <v>389560</v>
          </cell>
          <cell r="E9">
            <v>396486</v>
          </cell>
          <cell r="F9">
            <v>409657</v>
          </cell>
          <cell r="G9">
            <v>404592</v>
          </cell>
          <cell r="H9">
            <v>409761</v>
          </cell>
          <cell r="I9">
            <v>419820</v>
          </cell>
          <cell r="J9">
            <v>416499</v>
          </cell>
          <cell r="K9">
            <v>397403</v>
          </cell>
          <cell r="L9">
            <v>419161</v>
          </cell>
          <cell r="M9">
            <v>415393</v>
          </cell>
          <cell r="N9">
            <v>512226</v>
          </cell>
        </row>
        <row r="10">
          <cell r="B10" t="str">
            <v>príjmy od EAO spolu rok 2011 bez oddlženia</v>
          </cell>
          <cell r="C10">
            <v>413261</v>
          </cell>
          <cell r="D10">
            <v>405617</v>
          </cell>
          <cell r="E10">
            <v>430883</v>
          </cell>
          <cell r="F10">
            <v>421427</v>
          </cell>
          <cell r="G10">
            <v>437860</v>
          </cell>
          <cell r="H10">
            <v>439195</v>
          </cell>
          <cell r="I10">
            <v>447037</v>
          </cell>
          <cell r="J10">
            <v>446355</v>
          </cell>
          <cell r="K10">
            <v>431593</v>
          </cell>
          <cell r="L10">
            <v>449599</v>
          </cell>
          <cell r="M10">
            <v>442321</v>
          </cell>
          <cell r="N10">
            <v>538382</v>
          </cell>
        </row>
        <row r="11">
          <cell r="B11" t="str">
            <v>príjmy od EAO spolu rok 2011 vrátane oddlženia</v>
          </cell>
          <cell r="C11">
            <v>413261</v>
          </cell>
          <cell r="D11">
            <v>405617</v>
          </cell>
          <cell r="E11">
            <v>430883</v>
          </cell>
          <cell r="F11">
            <v>421427</v>
          </cell>
          <cell r="G11">
            <v>437860</v>
          </cell>
          <cell r="H11">
            <v>439195</v>
          </cell>
          <cell r="I11">
            <v>447037</v>
          </cell>
          <cell r="J11">
            <v>446355</v>
          </cell>
          <cell r="K11">
            <v>431593</v>
          </cell>
          <cell r="L11">
            <v>508667</v>
          </cell>
          <cell r="M11">
            <v>442321</v>
          </cell>
          <cell r="N11">
            <v>538382</v>
          </cell>
        </row>
        <row r="12">
          <cell r="B12" t="str">
            <v>príjmy od EAO spolu rok 2012 vrátane oddĺženia</v>
          </cell>
          <cell r="C12">
            <v>445863</v>
          </cell>
          <cell r="D12">
            <v>436816</v>
          </cell>
          <cell r="E12">
            <v>427059.55717000004</v>
          </cell>
          <cell r="F12">
            <v>438139.44282999996</v>
          </cell>
          <cell r="G12">
            <v>448976</v>
          </cell>
          <cell r="H12">
            <v>451458</v>
          </cell>
          <cell r="I12">
            <v>467118.80834000005</v>
          </cell>
          <cell r="J12">
            <v>459276</v>
          </cell>
          <cell r="K12">
            <v>443517</v>
          </cell>
          <cell r="L12">
            <v>457603</v>
          </cell>
          <cell r="M12">
            <v>453280</v>
          </cell>
          <cell r="N12">
            <v>551704</v>
          </cell>
        </row>
        <row r="13">
          <cell r="B13" t="str">
            <v>príjmy od EAO spolu rok 2012 bez  oddĺženia</v>
          </cell>
          <cell r="C13">
            <v>445863</v>
          </cell>
          <cell r="D13">
            <v>436816</v>
          </cell>
          <cell r="E13">
            <v>427059.55717000004</v>
          </cell>
          <cell r="F13">
            <v>438139.44282999996</v>
          </cell>
          <cell r="G13">
            <v>448976</v>
          </cell>
          <cell r="H13">
            <v>451458</v>
          </cell>
          <cell r="I13">
            <v>467118.80834000005</v>
          </cell>
          <cell r="J13">
            <v>459276</v>
          </cell>
          <cell r="K13">
            <v>443517</v>
          </cell>
          <cell r="L13">
            <v>457603</v>
          </cell>
          <cell r="M13">
            <v>453280</v>
          </cell>
          <cell r="N13">
            <v>541304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Vývoj pohľadávok"/>
      <sheetName val="graf pohľadávky"/>
      <sheetName val="Stav pohľ.podľa poboč(12 12"/>
      <sheetName val="Stav pohľ.podľa poboč(12 12 (2"/>
      <sheetName val="Stav pohľ.podľa poboč(11_12)"/>
      <sheetName val="Stav pohľ.podľa poboč(12_12"/>
      <sheetName val="Stav pohľ.podľa poboč.(10_12)"/>
      <sheetName val="Stav pohľ.podľa poboč.(10_1 (2"/>
      <sheetName val="Stav pohľ.podľa poboč.(09_12)"/>
      <sheetName val="Stav pohľ.podľa poboč.(09_1 (2"/>
      <sheetName val="Stav pohľ.podľa poboč.(08_1 (2"/>
      <sheetName val="Stav pohľadávok podľa poboč (2"/>
      <sheetName val="Stav pohľ podľa poboč (2"/>
      <sheetName val="Pohľ.podľa spôsobov vymáhania"/>
      <sheetName val="Exekučné návrhy"/>
      <sheetName val="Vydané rozhodnutia SK "/>
      <sheetName val="Mandátna správa"/>
      <sheetName val="Pohľadávky voči  ZZ"/>
      <sheetName val="Pohľadávky podľa pobočiek  ZZ"/>
    </sheetNames>
    <sheetDataSet>
      <sheetData sheetId="0">
        <row r="37">
          <cell r="B37" t="str">
            <v>k 31.12.2010</v>
          </cell>
          <cell r="C37">
            <v>823205</v>
          </cell>
        </row>
        <row r="38">
          <cell r="B38" t="str">
            <v> k 31.12.2011</v>
          </cell>
          <cell r="C38">
            <v>563760.21517</v>
          </cell>
        </row>
        <row r="39">
          <cell r="B39" t="str">
            <v> k 31.1.2012</v>
          </cell>
          <cell r="C39">
            <v>621385.1175399999</v>
          </cell>
        </row>
        <row r="40">
          <cell r="B40" t="str">
            <v> k 29.2.2012</v>
          </cell>
          <cell r="C40">
            <v>613417.9958500001</v>
          </cell>
        </row>
        <row r="41">
          <cell r="B41" t="str">
            <v>k 31.3.2012</v>
          </cell>
          <cell r="C41">
            <v>622231.79929</v>
          </cell>
        </row>
        <row r="42">
          <cell r="B42" t="str">
            <v> k 30.4.2012</v>
          </cell>
          <cell r="C42">
            <v>629846.9372499998</v>
          </cell>
        </row>
        <row r="43">
          <cell r="B43" t="str">
            <v> k 31.5.2012</v>
          </cell>
          <cell r="C43">
            <v>637343.2580500001</v>
          </cell>
        </row>
        <row r="44">
          <cell r="B44" t="str">
            <v>k 30.6.2012</v>
          </cell>
          <cell r="C44">
            <v>661575.63127</v>
          </cell>
        </row>
        <row r="45">
          <cell r="B45" t="str">
            <v>k 31.7.2012</v>
          </cell>
          <cell r="C45">
            <v>667871.9956</v>
          </cell>
        </row>
        <row r="46">
          <cell r="B46" t="str">
            <v>k 31.8.2012</v>
          </cell>
          <cell r="C46">
            <v>663342.4262699998</v>
          </cell>
        </row>
        <row r="47">
          <cell r="B47" t="str">
            <v>k 30.9.2012</v>
          </cell>
          <cell r="C47">
            <v>655571.74714</v>
          </cell>
        </row>
        <row r="48">
          <cell r="B48" t="str">
            <v>k 31.10.2012</v>
          </cell>
          <cell r="C48">
            <v>641927.6018200002</v>
          </cell>
        </row>
        <row r="49">
          <cell r="B49" t="str">
            <v>k 30.11.2012</v>
          </cell>
          <cell r="C49">
            <v>651771.5945700001</v>
          </cell>
        </row>
        <row r="50">
          <cell r="B50" t="str">
            <v>k 31.12.2012</v>
          </cell>
          <cell r="C50">
            <v>595319.5196600001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pozemky 711001"/>
      <sheetName val="budovy 712"/>
      <sheetName val="dopravné 714"/>
      <sheetName val="SW 711003"/>
      <sheetName val="stroje 713"/>
      <sheetName val="projektová 716"/>
      <sheetName val="stavby 717"/>
      <sheetName val="odchodné dostupné"/>
      <sheetName val="2011 a 2012"/>
      <sheetName val="Graf"/>
      <sheetName val="spolu 600+700 rok 2012"/>
      <sheetName val="spolu 600 rok 2012"/>
      <sheetName val="spolu 700 rok 2012"/>
      <sheetName val="600 ústredie rok 2012"/>
      <sheetName val="600 pobočky rok 2012"/>
      <sheetName val="spolu 600+700 november 2012"/>
      <sheetName val="spolu 600 november 2012"/>
      <sheetName val="spolu 700 november 2012"/>
      <sheetName val="600 ústredie november 2012"/>
      <sheetName val="600 pobočky november 2012"/>
      <sheetName val="objed.a faktúry november 2012"/>
      <sheetName val="spolu 600+700 október 2012"/>
      <sheetName val="spolu 600 október 2012"/>
      <sheetName val="spolu 700 október 2012"/>
      <sheetName val="600 ústredie október 2012"/>
      <sheetName val="600 pobočky október 2012"/>
      <sheetName val="objed.a faktúry október 2012"/>
      <sheetName val="spolu 600+700 september 2012"/>
      <sheetName val="spolu 600 september 2012"/>
      <sheetName val="spolu 700 september 2012"/>
      <sheetName val="600 ústredie september 2012"/>
      <sheetName val="600 pobočky september 2012"/>
      <sheetName val="objed.a faktúry septemer 2012"/>
      <sheetName val="SF september 2012"/>
      <sheetName val="spolu 600+700 august 2012"/>
      <sheetName val="spolu 600 august 2012"/>
      <sheetName val="spolu 700 august 2012"/>
      <sheetName val="600 ústredie august 2012"/>
      <sheetName val="600 pobočky august 2012"/>
      <sheetName val="objednáv.a faktúry august 2012"/>
      <sheetName val="spolu 600+700 júl 2012"/>
      <sheetName val="spolu 600 júl 2012"/>
      <sheetName val="spolu 700 júl 2012"/>
      <sheetName val="600 ústredie júl 2012"/>
      <sheetName val="600 pobočky júl 2012"/>
      <sheetName val="objednáv.a faktúry júl 2012"/>
      <sheetName val="spolu 600+700 jún 2012"/>
      <sheetName val="spolu 600 jún 2012"/>
      <sheetName val="spolu 700 jún 2012"/>
      <sheetName val="600 ústredie jún 2012"/>
      <sheetName val="600 pobočky jún 2012"/>
      <sheetName val="objednáv.a faktúry jún 2012"/>
      <sheetName val="spolu 600+700 máj 2012"/>
      <sheetName val="spolu 600 máj 2012"/>
      <sheetName val="spolu 700 máj 2012"/>
      <sheetName val="600 ústredie máj 2012"/>
      <sheetName val="600 pobočky máj 2012"/>
      <sheetName val="objednáv.a faktúry máj 2012"/>
      <sheetName val="spolu 600+700 apríl 2012"/>
      <sheetName val="spolu 600 apríl 2012"/>
      <sheetName val="spolu 700 apríl 2012"/>
      <sheetName val="600 ústredie apríl 2012"/>
      <sheetName val="600 pobočky apríl 2012"/>
      <sheetName val="objednáv.a faktúry apríl 2012"/>
      <sheetName val="SF apríl 2012"/>
      <sheetName val="spolu 600+700 marec 2012"/>
      <sheetName val="spolu 600 marec 2012"/>
      <sheetName val="spolu 700 marec 2012"/>
      <sheetName val="600 ústredie marec 2012"/>
      <sheetName val="600 pobočky marec 2012"/>
      <sheetName val="objednáv.a faktúry marec"/>
      <sheetName val="SF marec 2012"/>
      <sheetName val="spolu 600+700 február 2012"/>
      <sheetName val="600 celá SP február 2012"/>
      <sheetName val="700 celá SP február 2012"/>
      <sheetName val="600 ústredie február 2012"/>
      <sheetName val="600 pobočky február 2012"/>
      <sheetName val="objednáv.a faktúry február 2012"/>
      <sheetName val="spolu 600+700 január 2012"/>
      <sheetName val="600 celá SP január 2012"/>
      <sheetName val="700 celá SP január 2012"/>
      <sheetName val="600 ústredie január 2012"/>
      <sheetName val="600 pobočky január 2012"/>
      <sheetName val="objednáv.a faktúry január"/>
      <sheetName val="SF január 2012"/>
      <sheetName val="spolu SF prezentácia"/>
      <sheetName val="pobočky júl prezentácia"/>
      <sheetName val="pobočky august prezentácia"/>
      <sheetName val="do prezentácie"/>
      <sheetName val="do prezentácie (2)"/>
      <sheetName val="príloha č. 11"/>
      <sheetName val="príloha č.3"/>
      <sheetName val="príloha č. 9"/>
      <sheetName val="Hárok2"/>
      <sheetName val="Hárok1"/>
      <sheetName val="Hárok3"/>
      <sheetName val="Hárok4"/>
      <sheetName val="programy stavby"/>
      <sheetName val="stroje"/>
      <sheetName val="KV zo SAP"/>
      <sheetName val="dodávateľ"/>
      <sheetName val="zdroj"/>
      <sheetName val="vzor"/>
      <sheetName val="vzor1"/>
      <sheetName val="Hárok6"/>
    </sheetNames>
    <sheetDataSet>
      <sheetData sheetId="101">
        <row r="12">
          <cell r="B12" t="str">
            <v> Január </v>
          </cell>
          <cell r="C12" t="str">
            <v> Február </v>
          </cell>
          <cell r="D12" t="str">
            <v>Marec</v>
          </cell>
          <cell r="E12" t="str">
            <v>Apríl</v>
          </cell>
          <cell r="F12" t="str">
            <v>Máj</v>
          </cell>
          <cell r="G12" t="str">
            <v>Jún</v>
          </cell>
          <cell r="H12" t="str">
            <v>Júl</v>
          </cell>
          <cell r="I12" t="str">
            <v>August</v>
          </cell>
          <cell r="J12" t="str">
            <v>September</v>
          </cell>
          <cell r="K12" t="str">
            <v>Október</v>
          </cell>
          <cell r="L12" t="str">
            <v>November</v>
          </cell>
          <cell r="M12" t="str">
            <v>December</v>
          </cell>
        </row>
        <row r="13">
          <cell r="A13" t="str">
            <v>Správny fond v roku 2011 </v>
          </cell>
          <cell r="B13">
            <v>7433561</v>
          </cell>
          <cell r="C13">
            <v>9694312</v>
          </cell>
          <cell r="D13">
            <v>9094152</v>
          </cell>
          <cell r="E13">
            <v>10057790</v>
          </cell>
          <cell r="F13">
            <v>10297171</v>
          </cell>
          <cell r="G13">
            <v>8105980</v>
          </cell>
          <cell r="H13">
            <v>9896131</v>
          </cell>
          <cell r="I13">
            <v>8129413</v>
          </cell>
          <cell r="J13">
            <v>7621936</v>
          </cell>
          <cell r="K13">
            <v>8194299</v>
          </cell>
          <cell r="L13">
            <v>10997308</v>
          </cell>
          <cell r="M13">
            <v>16716252</v>
          </cell>
        </row>
        <row r="14">
          <cell r="A14" t="str">
            <v>Správny fond v roku 2012</v>
          </cell>
          <cell r="B14">
            <v>8606667</v>
          </cell>
          <cell r="C14">
            <v>8662871</v>
          </cell>
          <cell r="D14">
            <v>8342284</v>
          </cell>
          <cell r="E14">
            <v>9988998</v>
          </cell>
          <cell r="F14">
            <v>8359113</v>
          </cell>
          <cell r="G14">
            <v>8434884</v>
          </cell>
          <cell r="H14">
            <v>9373749</v>
          </cell>
          <cell r="I14">
            <v>8421462</v>
          </cell>
          <cell r="J14">
            <v>8500459</v>
          </cell>
          <cell r="K14">
            <v>8702050</v>
          </cell>
          <cell r="L14">
            <v>8335463</v>
          </cell>
          <cell r="M14">
            <v>16908446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0"/>
  <sheetViews>
    <sheetView zoomScalePageLayoutView="0" workbookViewId="0" topLeftCell="A34">
      <selection activeCell="A64" sqref="A64"/>
    </sheetView>
  </sheetViews>
  <sheetFormatPr defaultColWidth="8.00390625" defaultRowHeight="12.75"/>
  <cols>
    <col min="1" max="1" width="50.8515625" style="12" customWidth="1"/>
    <col min="2" max="2" width="17.00390625" style="12" customWidth="1"/>
    <col min="3" max="4" width="17.00390625" style="13" customWidth="1"/>
    <col min="5" max="5" width="17.00390625" style="12" customWidth="1"/>
    <col min="6" max="8" width="10.28125" style="12" customWidth="1"/>
    <col min="9" max="9" width="10.00390625" style="12" customWidth="1"/>
    <col min="10" max="16384" width="8.00390625" style="12" customWidth="1"/>
  </cols>
  <sheetData>
    <row r="1" ht="24.75" customHeight="1">
      <c r="A1" s="209"/>
    </row>
    <row r="2" ht="31.5" customHeight="1"/>
    <row r="3" spans="1:5" ht="15">
      <c r="A3" s="210" t="s">
        <v>213</v>
      </c>
      <c r="B3" s="211"/>
      <c r="C3" s="212"/>
      <c r="D3" s="212"/>
      <c r="E3" s="211"/>
    </row>
    <row r="4" spans="2:5" ht="15">
      <c r="B4" s="211"/>
      <c r="C4" s="212"/>
      <c r="D4" s="212"/>
      <c r="E4" s="211"/>
    </row>
    <row r="5" spans="1:9" ht="15">
      <c r="A5" s="211"/>
      <c r="B5" s="211"/>
      <c r="C5" s="212"/>
      <c r="I5" s="213" t="s">
        <v>3</v>
      </c>
    </row>
    <row r="6" spans="1:9" ht="55.5" customHeight="1">
      <c r="A6" s="214" t="s">
        <v>1</v>
      </c>
      <c r="B6" s="29" t="s">
        <v>214</v>
      </c>
      <c r="C6" s="29" t="s">
        <v>215</v>
      </c>
      <c r="D6" s="29" t="s">
        <v>216</v>
      </c>
      <c r="E6" s="29" t="s">
        <v>217</v>
      </c>
      <c r="F6" s="215" t="s">
        <v>164</v>
      </c>
      <c r="G6" s="215" t="s">
        <v>218</v>
      </c>
      <c r="H6" s="215" t="s">
        <v>162</v>
      </c>
      <c r="I6" s="215" t="s">
        <v>219</v>
      </c>
    </row>
    <row r="7" spans="1:9" ht="14.25" customHeight="1">
      <c r="A7" s="216" t="s">
        <v>0</v>
      </c>
      <c r="B7" s="216">
        <v>1</v>
      </c>
      <c r="C7" s="217">
        <v>2</v>
      </c>
      <c r="D7" s="217">
        <v>3</v>
      </c>
      <c r="E7" s="216">
        <v>4</v>
      </c>
      <c r="F7" s="218">
        <v>5</v>
      </c>
      <c r="G7" s="218">
        <v>6</v>
      </c>
      <c r="H7" s="218">
        <v>7</v>
      </c>
      <c r="I7" s="216">
        <v>8</v>
      </c>
    </row>
    <row r="8" spans="1:9" ht="15">
      <c r="A8" s="219" t="s">
        <v>220</v>
      </c>
      <c r="B8" s="220"/>
      <c r="C8" s="221"/>
      <c r="D8" s="221"/>
      <c r="E8" s="220"/>
      <c r="F8" s="222"/>
      <c r="G8" s="222"/>
      <c r="H8" s="222"/>
      <c r="I8" s="223"/>
    </row>
    <row r="9" spans="1:9" ht="15">
      <c r="A9" s="222" t="s">
        <v>221</v>
      </c>
      <c r="B9" s="224">
        <v>6253847</v>
      </c>
      <c r="C9" s="224">
        <v>6534611</v>
      </c>
      <c r="D9" s="224">
        <v>6667993</v>
      </c>
      <c r="E9" s="224">
        <v>6407850</v>
      </c>
      <c r="F9" s="225">
        <v>98.06015996973653</v>
      </c>
      <c r="G9" s="225">
        <v>96.09863117732728</v>
      </c>
      <c r="H9" s="224">
        <v>-126761</v>
      </c>
      <c r="I9" s="224">
        <v>-260143</v>
      </c>
    </row>
    <row r="10" spans="1:9" ht="15">
      <c r="A10" s="222" t="s">
        <v>222</v>
      </c>
      <c r="B10" s="224">
        <v>1402405</v>
      </c>
      <c r="C10" s="224">
        <v>1780000</v>
      </c>
      <c r="D10" s="224">
        <v>1780000</v>
      </c>
      <c r="E10" s="224">
        <v>1408333</v>
      </c>
      <c r="F10" s="225">
        <v>79.11983146067416</v>
      </c>
      <c r="G10" s="225">
        <v>79.11983146067416</v>
      </c>
      <c r="H10" s="224">
        <v>-371667</v>
      </c>
      <c r="I10" s="224">
        <v>-371667</v>
      </c>
    </row>
    <row r="11" spans="1:9" ht="15">
      <c r="A11" s="222" t="s">
        <v>223</v>
      </c>
      <c r="B11" s="224">
        <v>6132633</v>
      </c>
      <c r="C11" s="224">
        <v>6509225</v>
      </c>
      <c r="D11" s="224">
        <v>6499601</v>
      </c>
      <c r="E11" s="224">
        <v>6433093</v>
      </c>
      <c r="F11" s="225">
        <v>98.83039839612242</v>
      </c>
      <c r="G11" s="225">
        <v>98.97673718740582</v>
      </c>
      <c r="H11" s="224">
        <v>-76132</v>
      </c>
      <c r="I11" s="224">
        <v>-66508</v>
      </c>
    </row>
    <row r="12" spans="1:9" ht="15">
      <c r="A12" s="222" t="s">
        <v>224</v>
      </c>
      <c r="B12" s="224">
        <v>121214</v>
      </c>
      <c r="C12" s="224">
        <v>25386</v>
      </c>
      <c r="D12" s="224">
        <v>168392.09999999998</v>
      </c>
      <c r="E12" s="224">
        <v>-25243</v>
      </c>
      <c r="F12" s="225">
        <v>-99.43669739226345</v>
      </c>
      <c r="G12" s="225">
        <v>-14.990608229245911</v>
      </c>
      <c r="H12" s="224">
        <v>-50629</v>
      </c>
      <c r="I12" s="224">
        <v>-193635.09999999998</v>
      </c>
    </row>
    <row r="13" spans="1:9" ht="15">
      <c r="A13" s="222" t="s">
        <v>225</v>
      </c>
      <c r="B13" s="224">
        <v>435667</v>
      </c>
      <c r="C13" s="224">
        <v>526560</v>
      </c>
      <c r="D13" s="224">
        <v>526560</v>
      </c>
      <c r="E13" s="224">
        <v>556881</v>
      </c>
      <c r="F13" s="225">
        <v>105.75831814038285</v>
      </c>
      <c r="G13" s="225">
        <v>105.75831814038285</v>
      </c>
      <c r="H13" s="224">
        <v>30321</v>
      </c>
      <c r="I13" s="224">
        <v>30321</v>
      </c>
    </row>
    <row r="14" spans="1:9" ht="15">
      <c r="A14" s="222" t="s">
        <v>226</v>
      </c>
      <c r="B14" s="224">
        <v>556881</v>
      </c>
      <c r="C14" s="224">
        <v>551946</v>
      </c>
      <c r="D14" s="224">
        <v>694952.1</v>
      </c>
      <c r="E14" s="224">
        <v>531638</v>
      </c>
      <c r="F14" s="225">
        <v>96.32065455678635</v>
      </c>
      <c r="G14" s="225">
        <v>76.49994870150044</v>
      </c>
      <c r="H14" s="224">
        <v>-20308</v>
      </c>
      <c r="I14" s="224">
        <v>-163314.09999999998</v>
      </c>
    </row>
    <row r="15" spans="1:9" ht="15">
      <c r="A15" s="222" t="s">
        <v>227</v>
      </c>
      <c r="B15" s="224">
        <v>6689514</v>
      </c>
      <c r="C15" s="224">
        <v>7061171</v>
      </c>
      <c r="D15" s="224">
        <v>7194553.1</v>
      </c>
      <c r="E15" s="224">
        <v>6964731</v>
      </c>
      <c r="F15" s="225">
        <v>98.63422086789853</v>
      </c>
      <c r="G15" s="225">
        <v>96.80560978832723</v>
      </c>
      <c r="H15" s="224">
        <v>-96440</v>
      </c>
      <c r="I15" s="224">
        <v>-229822.09999999963</v>
      </c>
    </row>
    <row r="16" spans="1:9" ht="15">
      <c r="A16" s="222"/>
      <c r="B16" s="224"/>
      <c r="C16" s="226"/>
      <c r="D16" s="224"/>
      <c r="E16" s="227"/>
      <c r="F16" s="228"/>
      <c r="G16" s="228"/>
      <c r="H16" s="227"/>
      <c r="I16" s="229"/>
    </row>
    <row r="17" spans="1:9" ht="15">
      <c r="A17" s="223" t="s">
        <v>228</v>
      </c>
      <c r="B17" s="230">
        <v>6253847</v>
      </c>
      <c r="C17" s="230">
        <v>6534611</v>
      </c>
      <c r="D17" s="230">
        <v>6667993</v>
      </c>
      <c r="E17" s="230">
        <v>6407850</v>
      </c>
      <c r="F17" s="225">
        <v>98.06015996973653</v>
      </c>
      <c r="G17" s="225">
        <v>96.09863117732728</v>
      </c>
      <c r="H17" s="224">
        <v>-126761</v>
      </c>
      <c r="I17" s="224">
        <v>-260143</v>
      </c>
    </row>
    <row r="18" spans="1:9" ht="15">
      <c r="A18" s="222" t="s">
        <v>229</v>
      </c>
      <c r="B18" s="224">
        <v>4749307</v>
      </c>
      <c r="C18" s="224">
        <v>4707922</v>
      </c>
      <c r="D18" s="224">
        <v>4841665</v>
      </c>
      <c r="E18" s="224">
        <v>4949094</v>
      </c>
      <c r="F18" s="225">
        <v>105.12268470038373</v>
      </c>
      <c r="G18" s="225">
        <v>102.21884413729573</v>
      </c>
      <c r="H18" s="224">
        <v>241172</v>
      </c>
      <c r="I18" s="224">
        <v>107429</v>
      </c>
    </row>
    <row r="19" spans="1:9" ht="15">
      <c r="A19" s="222" t="s">
        <v>230</v>
      </c>
      <c r="B19" s="224">
        <v>410643</v>
      </c>
      <c r="C19" s="224">
        <v>422971</v>
      </c>
      <c r="D19" s="224">
        <v>411579</v>
      </c>
      <c r="E19" s="224">
        <v>412673</v>
      </c>
      <c r="F19" s="225">
        <v>97.56531771681748</v>
      </c>
      <c r="G19" s="225">
        <v>100.26580559260798</v>
      </c>
      <c r="H19" s="224">
        <v>-10298</v>
      </c>
      <c r="I19" s="224">
        <v>1094</v>
      </c>
    </row>
    <row r="20" spans="1:9" ht="15">
      <c r="A20" s="222" t="s">
        <v>231</v>
      </c>
      <c r="B20" s="224">
        <v>2163416</v>
      </c>
      <c r="C20" s="224">
        <v>2126276</v>
      </c>
      <c r="D20" s="224">
        <v>2271127</v>
      </c>
      <c r="E20" s="224">
        <v>2309129</v>
      </c>
      <c r="F20" s="225">
        <v>108.5996832019926</v>
      </c>
      <c r="G20" s="225">
        <v>101.6732661801828</v>
      </c>
      <c r="H20" s="224">
        <v>182853</v>
      </c>
      <c r="I20" s="224">
        <v>38002</v>
      </c>
    </row>
    <row r="21" spans="1:9" ht="15">
      <c r="A21" s="222" t="s">
        <v>232</v>
      </c>
      <c r="B21" s="224">
        <v>965753</v>
      </c>
      <c r="C21" s="224">
        <v>951370</v>
      </c>
      <c r="D21" s="224">
        <v>951947</v>
      </c>
      <c r="E21" s="224">
        <v>990932</v>
      </c>
      <c r="F21" s="225">
        <v>104.15842416725354</v>
      </c>
      <c r="G21" s="225">
        <v>104.09529101935297</v>
      </c>
      <c r="H21" s="224">
        <v>39562</v>
      </c>
      <c r="I21" s="224">
        <v>38985</v>
      </c>
    </row>
    <row r="22" spans="1:9" ht="15">
      <c r="A22" s="222" t="s">
        <v>233</v>
      </c>
      <c r="B22" s="224">
        <v>131002</v>
      </c>
      <c r="C22" s="224">
        <v>127559</v>
      </c>
      <c r="D22" s="224">
        <v>127559</v>
      </c>
      <c r="E22" s="224">
        <v>134266</v>
      </c>
      <c r="F22" s="225">
        <v>105.25795906208108</v>
      </c>
      <c r="G22" s="225">
        <v>105.25795906208108</v>
      </c>
      <c r="H22" s="224">
        <v>6707</v>
      </c>
      <c r="I22" s="224">
        <v>6707</v>
      </c>
    </row>
    <row r="23" spans="1:9" ht="15">
      <c r="A23" s="12" t="s">
        <v>234</v>
      </c>
      <c r="B23" s="224">
        <v>29308</v>
      </c>
      <c r="C23" s="224">
        <v>28786</v>
      </c>
      <c r="D23" s="224">
        <v>28786</v>
      </c>
      <c r="E23" s="224">
        <v>28484</v>
      </c>
      <c r="F23" s="225">
        <v>98.95087889946502</v>
      </c>
      <c r="G23" s="225">
        <v>98.95087889946502</v>
      </c>
      <c r="H23" s="224">
        <v>-302</v>
      </c>
      <c r="I23" s="224">
        <v>-302</v>
      </c>
    </row>
    <row r="24" spans="1:9" ht="15">
      <c r="A24" s="222" t="s">
        <v>235</v>
      </c>
      <c r="B24" s="224">
        <v>284414</v>
      </c>
      <c r="C24" s="224">
        <v>287006</v>
      </c>
      <c r="D24" s="224">
        <v>286262</v>
      </c>
      <c r="E24" s="224">
        <v>291734</v>
      </c>
      <c r="F24" s="225">
        <v>101.64735232016055</v>
      </c>
      <c r="G24" s="225">
        <v>101.9115355862811</v>
      </c>
      <c r="H24" s="224">
        <v>4728</v>
      </c>
      <c r="I24" s="224">
        <v>5472</v>
      </c>
    </row>
    <row r="25" spans="1:9" ht="15">
      <c r="A25" s="222" t="s">
        <v>73</v>
      </c>
      <c r="B25" s="224">
        <v>764771</v>
      </c>
      <c r="C25" s="224">
        <v>763954</v>
      </c>
      <c r="D25" s="224">
        <v>764405</v>
      </c>
      <c r="E25" s="224">
        <v>781876</v>
      </c>
      <c r="F25" s="225">
        <v>102.34595276678962</v>
      </c>
      <c r="G25" s="225">
        <v>102.28556851407305</v>
      </c>
      <c r="H25" s="224">
        <v>17922</v>
      </c>
      <c r="I25" s="224">
        <v>17471</v>
      </c>
    </row>
    <row r="26" spans="1:9" ht="15">
      <c r="A26" s="222" t="s">
        <v>236</v>
      </c>
      <c r="B26" s="224">
        <v>6746</v>
      </c>
      <c r="C26" s="224">
        <v>4445</v>
      </c>
      <c r="D26" s="224">
        <v>4445</v>
      </c>
      <c r="E26" s="224">
        <v>16360</v>
      </c>
      <c r="F26" s="225">
        <v>368.05399325084363</v>
      </c>
      <c r="G26" s="225">
        <v>368.05399325084363</v>
      </c>
      <c r="H26" s="224">
        <v>11915</v>
      </c>
      <c r="I26" s="224">
        <v>11915</v>
      </c>
    </row>
    <row r="27" spans="1:9" ht="15">
      <c r="A27" s="222" t="s">
        <v>237</v>
      </c>
      <c r="B27" s="224">
        <v>63628</v>
      </c>
      <c r="C27" s="224">
        <v>15221</v>
      </c>
      <c r="D27" s="224">
        <v>14860</v>
      </c>
      <c r="E27" s="224">
        <v>16131</v>
      </c>
      <c r="F27" s="225">
        <v>105.97858222193022</v>
      </c>
      <c r="G27" s="225">
        <v>108.55316285329744</v>
      </c>
      <c r="H27" s="224">
        <v>910</v>
      </c>
      <c r="I27" s="224">
        <v>1271</v>
      </c>
    </row>
    <row r="28" spans="1:9" ht="15">
      <c r="A28" s="222" t="s">
        <v>238</v>
      </c>
      <c r="B28" s="224">
        <v>31761</v>
      </c>
      <c r="C28" s="224">
        <v>27023</v>
      </c>
      <c r="D28" s="224">
        <v>27023</v>
      </c>
      <c r="E28" s="224">
        <v>17932</v>
      </c>
      <c r="F28" s="225">
        <v>66.35828738482033</v>
      </c>
      <c r="G28" s="225">
        <v>66.35828738482033</v>
      </c>
      <c r="H28" s="224">
        <v>-9091</v>
      </c>
      <c r="I28" s="224">
        <v>-9091</v>
      </c>
    </row>
    <row r="29" spans="1:9" ht="15">
      <c r="A29" s="222" t="s">
        <v>239</v>
      </c>
      <c r="B29" s="224">
        <v>1402405</v>
      </c>
      <c r="C29" s="224">
        <v>1780000</v>
      </c>
      <c r="D29" s="224">
        <v>1780000</v>
      </c>
      <c r="E29" s="224">
        <v>1408333</v>
      </c>
      <c r="F29" s="225">
        <v>79.11983146067416</v>
      </c>
      <c r="G29" s="225">
        <v>79.11983146067416</v>
      </c>
      <c r="H29" s="224">
        <v>-371667</v>
      </c>
      <c r="I29" s="224">
        <v>-371667</v>
      </c>
    </row>
    <row r="30" spans="1:9" ht="15">
      <c r="A30" s="229"/>
      <c r="B30" s="227"/>
      <c r="C30" s="227"/>
      <c r="D30" s="227"/>
      <c r="E30" s="227"/>
      <c r="F30" s="228"/>
      <c r="G30" s="228"/>
      <c r="H30" s="227"/>
      <c r="I30" s="229"/>
    </row>
    <row r="31" spans="1:9" ht="15">
      <c r="A31" s="223" t="s">
        <v>240</v>
      </c>
      <c r="B31" s="230">
        <v>6132633</v>
      </c>
      <c r="C31" s="230">
        <v>6509225</v>
      </c>
      <c r="D31" s="230">
        <v>6499601</v>
      </c>
      <c r="E31" s="230">
        <v>6433093</v>
      </c>
      <c r="F31" s="225">
        <v>98.83039839612242</v>
      </c>
      <c r="G31" s="225">
        <v>98.97673718740582</v>
      </c>
      <c r="H31" s="224">
        <v>-76132</v>
      </c>
      <c r="I31" s="224">
        <v>-66508</v>
      </c>
    </row>
    <row r="32" spans="1:9" ht="15">
      <c r="A32" s="222" t="s">
        <v>241</v>
      </c>
      <c r="B32" s="224">
        <v>6016395</v>
      </c>
      <c r="C32" s="224">
        <v>6395514</v>
      </c>
      <c r="D32" s="224">
        <v>6385890</v>
      </c>
      <c r="E32" s="224">
        <v>6320456</v>
      </c>
      <c r="F32" s="225">
        <v>98.8263961270353</v>
      </c>
      <c r="G32" s="225">
        <v>98.97533468318433</v>
      </c>
      <c r="H32" s="224">
        <v>-75058</v>
      </c>
      <c r="I32" s="224">
        <v>-65434</v>
      </c>
    </row>
    <row r="33" spans="1:9" ht="15">
      <c r="A33" s="222" t="s">
        <v>7</v>
      </c>
      <c r="B33" s="224">
        <v>381436</v>
      </c>
      <c r="C33" s="224">
        <v>431934</v>
      </c>
      <c r="D33" s="224">
        <v>422576</v>
      </c>
      <c r="E33" s="224">
        <v>428160</v>
      </c>
      <c r="F33" s="225">
        <v>99.12625540013057</v>
      </c>
      <c r="G33" s="225">
        <v>101.32141910567567</v>
      </c>
      <c r="H33" s="224">
        <v>-3774</v>
      </c>
      <c r="I33" s="224">
        <v>5584</v>
      </c>
    </row>
    <row r="34" spans="1:9" ht="15">
      <c r="A34" s="222" t="s">
        <v>14</v>
      </c>
      <c r="B34" s="224">
        <v>4547850</v>
      </c>
      <c r="C34" s="224">
        <v>4814092</v>
      </c>
      <c r="D34" s="224">
        <v>4814092</v>
      </c>
      <c r="E34" s="224">
        <v>4760341</v>
      </c>
      <c r="F34" s="225">
        <v>98.88346545932234</v>
      </c>
      <c r="G34" s="225">
        <v>98.88346545932234</v>
      </c>
      <c r="H34" s="224">
        <v>-53751</v>
      </c>
      <c r="I34" s="224">
        <v>-53751</v>
      </c>
    </row>
    <row r="35" spans="1:9" ht="15">
      <c r="A35" s="222" t="s">
        <v>21</v>
      </c>
      <c r="B35" s="224">
        <v>843229</v>
      </c>
      <c r="C35" s="224">
        <v>890568</v>
      </c>
      <c r="D35" s="224">
        <v>890568</v>
      </c>
      <c r="E35" s="224">
        <v>879489</v>
      </c>
      <c r="F35" s="225">
        <v>98.75596248686232</v>
      </c>
      <c r="G35" s="225">
        <v>98.75596248686232</v>
      </c>
      <c r="H35" s="224">
        <v>-11079</v>
      </c>
      <c r="I35" s="224">
        <v>-11079</v>
      </c>
    </row>
    <row r="36" spans="1:9" ht="15">
      <c r="A36" s="222" t="s">
        <v>26</v>
      </c>
      <c r="B36" s="224">
        <v>42984</v>
      </c>
      <c r="C36" s="224">
        <v>47676</v>
      </c>
      <c r="D36" s="224">
        <v>47676</v>
      </c>
      <c r="E36" s="224">
        <v>43216</v>
      </c>
      <c r="F36" s="225">
        <v>90.64518835472775</v>
      </c>
      <c r="G36" s="225">
        <v>90.64518835472775</v>
      </c>
      <c r="H36" s="224">
        <v>-4460</v>
      </c>
      <c r="I36" s="224">
        <v>-4460</v>
      </c>
    </row>
    <row r="37" spans="1:9" ht="15">
      <c r="A37" s="222" t="s">
        <v>40</v>
      </c>
      <c r="B37" s="224">
        <v>37562</v>
      </c>
      <c r="C37" s="224">
        <v>41073</v>
      </c>
      <c r="D37" s="224">
        <v>41073</v>
      </c>
      <c r="E37" s="224">
        <v>33477</v>
      </c>
      <c r="F37" s="225">
        <v>81.50609889708568</v>
      </c>
      <c r="G37" s="225">
        <v>81.50609889708568</v>
      </c>
      <c r="H37" s="224">
        <v>-7596</v>
      </c>
      <c r="I37" s="224">
        <v>-7596</v>
      </c>
    </row>
    <row r="38" spans="1:9" ht="15">
      <c r="A38" s="222" t="s">
        <v>44</v>
      </c>
      <c r="B38" s="224">
        <v>163334</v>
      </c>
      <c r="C38" s="224">
        <v>170171</v>
      </c>
      <c r="D38" s="224">
        <v>169905</v>
      </c>
      <c r="E38" s="224">
        <v>175773</v>
      </c>
      <c r="F38" s="225">
        <v>103.29198277027226</v>
      </c>
      <c r="G38" s="225">
        <v>103.45369471175067</v>
      </c>
      <c r="H38" s="224">
        <v>5602</v>
      </c>
      <c r="I38" s="224">
        <v>5868</v>
      </c>
    </row>
    <row r="39" spans="1:9" ht="15">
      <c r="A39" s="222" t="s">
        <v>242</v>
      </c>
      <c r="B39" s="224">
        <v>116238</v>
      </c>
      <c r="C39" s="224">
        <v>113711</v>
      </c>
      <c r="D39" s="224">
        <v>113711</v>
      </c>
      <c r="E39" s="224">
        <v>112637</v>
      </c>
      <c r="F39" s="225">
        <v>99.05550034737185</v>
      </c>
      <c r="G39" s="225">
        <v>99.05550034737185</v>
      </c>
      <c r="H39" s="224">
        <v>-1074</v>
      </c>
      <c r="I39" s="224">
        <v>-1074</v>
      </c>
    </row>
    <row r="40" spans="1:9" ht="15">
      <c r="A40" s="229"/>
      <c r="B40" s="229"/>
      <c r="C40" s="229"/>
      <c r="D40" s="229"/>
      <c r="E40" s="229"/>
      <c r="F40" s="229"/>
      <c r="G40" s="229"/>
      <c r="H40" s="229"/>
      <c r="I40" s="229"/>
    </row>
    <row r="41" spans="1:9" ht="15">
      <c r="A41" s="231" t="s">
        <v>242</v>
      </c>
      <c r="B41" s="231"/>
      <c r="C41" s="232"/>
      <c r="D41" s="232"/>
      <c r="E41" s="231"/>
      <c r="F41" s="233"/>
      <c r="G41" s="233"/>
      <c r="H41" s="230"/>
      <c r="I41" s="223"/>
    </row>
    <row r="42" spans="1:9" ht="15">
      <c r="A42" s="234" t="s">
        <v>243</v>
      </c>
      <c r="B42" s="235">
        <v>119292</v>
      </c>
      <c r="C42" s="235">
        <v>119248</v>
      </c>
      <c r="D42" s="235">
        <v>121743.1</v>
      </c>
      <c r="E42" s="235">
        <v>123689</v>
      </c>
      <c r="F42" s="225">
        <v>103.724171474574</v>
      </c>
      <c r="G42" s="225">
        <v>101.59836573900287</v>
      </c>
      <c r="H42" s="224">
        <v>4441</v>
      </c>
      <c r="I42" s="224">
        <v>1945.8999999999942</v>
      </c>
    </row>
    <row r="43" spans="1:9" ht="15">
      <c r="A43" s="234" t="s">
        <v>244</v>
      </c>
      <c r="B43" s="235">
        <v>116238</v>
      </c>
      <c r="C43" s="235">
        <v>113711</v>
      </c>
      <c r="D43" s="235">
        <v>113711</v>
      </c>
      <c r="E43" s="235">
        <v>112637</v>
      </c>
      <c r="F43" s="225">
        <v>99.05550034737185</v>
      </c>
      <c r="G43" s="225">
        <v>99.05550034737185</v>
      </c>
      <c r="H43" s="224">
        <v>-1074</v>
      </c>
      <c r="I43" s="224">
        <v>-1074</v>
      </c>
    </row>
    <row r="44" spans="1:9" ht="15">
      <c r="A44" s="222" t="s">
        <v>224</v>
      </c>
      <c r="B44" s="235">
        <v>3054</v>
      </c>
      <c r="C44" s="235">
        <v>5537</v>
      </c>
      <c r="D44" s="235">
        <v>8032.100000000006</v>
      </c>
      <c r="E44" s="235">
        <v>11052</v>
      </c>
      <c r="F44" s="225">
        <v>199.6026729275781</v>
      </c>
      <c r="G44" s="225">
        <v>137.597888472504</v>
      </c>
      <c r="H44" s="224">
        <v>5515</v>
      </c>
      <c r="I44" s="224">
        <v>3019.899999999994</v>
      </c>
    </row>
    <row r="45" spans="1:9" ht="15">
      <c r="A45" s="222" t="s">
        <v>225</v>
      </c>
      <c r="B45" s="235">
        <v>40472</v>
      </c>
      <c r="C45" s="235">
        <v>45590</v>
      </c>
      <c r="D45" s="235">
        <v>45590</v>
      </c>
      <c r="E45" s="235">
        <v>43526</v>
      </c>
      <c r="F45" s="225">
        <v>95.47269137968853</v>
      </c>
      <c r="G45" s="225">
        <v>95.47269137968853</v>
      </c>
      <c r="H45" s="224">
        <v>-2064</v>
      </c>
      <c r="I45" s="224">
        <v>-2064</v>
      </c>
    </row>
    <row r="46" spans="1:9" ht="15">
      <c r="A46" s="229" t="s">
        <v>226</v>
      </c>
      <c r="B46" s="236">
        <v>43526</v>
      </c>
      <c r="C46" s="236">
        <v>51127</v>
      </c>
      <c r="D46" s="236">
        <v>53622.100000000006</v>
      </c>
      <c r="E46" s="236">
        <v>54578</v>
      </c>
      <c r="F46" s="228">
        <v>106.74985819625637</v>
      </c>
      <c r="G46" s="228">
        <v>101.7826605075146</v>
      </c>
      <c r="H46" s="227">
        <v>3451</v>
      </c>
      <c r="I46" s="227">
        <v>955.8999999999942</v>
      </c>
    </row>
    <row r="48" ht="15">
      <c r="A48" s="237" t="s">
        <v>245</v>
      </c>
    </row>
    <row r="49" spans="1:4" ht="15">
      <c r="A49" s="28" t="s">
        <v>784</v>
      </c>
      <c r="C49" s="12"/>
      <c r="D49" s="12"/>
    </row>
    <row r="50" ht="15">
      <c r="A50" s="12" t="s">
        <v>785</v>
      </c>
    </row>
  </sheetData>
  <sheetProtection/>
  <printOptions horizontalCentered="1"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3" tint="0.39998000860214233"/>
    <pageSetUpPr fitToPage="1"/>
  </sheetPr>
  <dimension ref="A1:D16"/>
  <sheetViews>
    <sheetView zoomScalePageLayoutView="0" workbookViewId="0" topLeftCell="A1">
      <selection activeCell="K18" sqref="K18"/>
    </sheetView>
  </sheetViews>
  <sheetFormatPr defaultColWidth="9.140625" defaultRowHeight="12.75"/>
  <cols>
    <col min="1" max="1" width="19.140625" style="141" customWidth="1"/>
    <col min="2" max="4" width="17.8515625" style="141" customWidth="1"/>
    <col min="5" max="16384" width="9.140625" style="141" customWidth="1"/>
  </cols>
  <sheetData>
    <row r="1" ht="12.75">
      <c r="D1" s="283"/>
    </row>
    <row r="3" spans="1:4" ht="25.5" customHeight="1">
      <c r="A3" s="748" t="s">
        <v>366</v>
      </c>
      <c r="B3" s="748"/>
      <c r="C3" s="748"/>
      <c r="D3" s="748"/>
    </row>
    <row r="4" spans="1:4" ht="71.25" customHeight="1">
      <c r="A4" s="553" t="s">
        <v>362</v>
      </c>
      <c r="B4" s="14" t="s">
        <v>367</v>
      </c>
      <c r="C4" s="14" t="s">
        <v>368</v>
      </c>
      <c r="D4" s="14" t="s">
        <v>369</v>
      </c>
    </row>
    <row r="5" spans="1:4" ht="18" customHeight="1">
      <c r="A5" s="557">
        <v>40939</v>
      </c>
      <c r="B5" s="81">
        <v>271</v>
      </c>
      <c r="C5" s="81">
        <v>669.42822</v>
      </c>
      <c r="D5" s="81">
        <v>39.43676</v>
      </c>
    </row>
    <row r="6" spans="1:4" ht="12.75">
      <c r="A6" s="557">
        <v>40967</v>
      </c>
      <c r="B6" s="81">
        <v>449</v>
      </c>
      <c r="C6" s="81">
        <v>1167.90805</v>
      </c>
      <c r="D6" s="81">
        <v>146.57025</v>
      </c>
    </row>
    <row r="7" spans="1:4" ht="12.75">
      <c r="A7" s="557">
        <v>40999</v>
      </c>
      <c r="B7" s="81">
        <v>628</v>
      </c>
      <c r="C7" s="81">
        <v>1837.18615</v>
      </c>
      <c r="D7" s="81">
        <v>346.75623</v>
      </c>
    </row>
    <row r="8" spans="1:4" ht="12.75">
      <c r="A8" s="557">
        <v>41029</v>
      </c>
      <c r="B8" s="81">
        <v>812</v>
      </c>
      <c r="C8" s="81">
        <v>2277.55005</v>
      </c>
      <c r="D8" s="81">
        <v>563.46582</v>
      </c>
    </row>
    <row r="9" spans="1:4" ht="12.75">
      <c r="A9" s="557">
        <v>41060</v>
      </c>
      <c r="B9" s="81">
        <v>943</v>
      </c>
      <c r="C9" s="81">
        <v>2815.92596</v>
      </c>
      <c r="D9" s="81">
        <v>872.1434199999999</v>
      </c>
    </row>
    <row r="10" spans="1:4" ht="12.75">
      <c r="A10" s="557">
        <v>41090</v>
      </c>
      <c r="B10" s="81">
        <v>1091</v>
      </c>
      <c r="C10" s="81">
        <v>3312.6826499999993</v>
      </c>
      <c r="D10" s="81">
        <v>1149.77678</v>
      </c>
    </row>
    <row r="11" spans="1:4" ht="12.75">
      <c r="A11" s="557">
        <v>41121</v>
      </c>
      <c r="B11" s="81">
        <v>1295</v>
      </c>
      <c r="C11" s="81">
        <v>3844.6411700000003</v>
      </c>
      <c r="D11" s="81">
        <v>1498.94837</v>
      </c>
    </row>
    <row r="12" spans="1:4" ht="12.75">
      <c r="A12" s="557">
        <v>41152</v>
      </c>
      <c r="B12" s="81">
        <v>1516</v>
      </c>
      <c r="C12" s="81">
        <v>4257.29268</v>
      </c>
      <c r="D12" s="81">
        <v>1831.46992</v>
      </c>
    </row>
    <row r="13" spans="1:4" ht="12.75">
      <c r="A13" s="557">
        <v>41182</v>
      </c>
      <c r="B13" s="81">
        <v>1737</v>
      </c>
      <c r="C13" s="81">
        <v>4694.53263</v>
      </c>
      <c r="D13" s="81">
        <v>2114.85744</v>
      </c>
    </row>
    <row r="14" spans="1:4" ht="12.75">
      <c r="A14" s="557">
        <v>41213</v>
      </c>
      <c r="B14" s="81">
        <v>1991</v>
      </c>
      <c r="C14" s="81">
        <v>5272.736430000002</v>
      </c>
      <c r="D14" s="81">
        <v>2425.591752</v>
      </c>
    </row>
    <row r="15" spans="1:4" ht="12.75">
      <c r="A15" s="557">
        <v>41243</v>
      </c>
      <c r="B15" s="81">
        <v>2169</v>
      </c>
      <c r="C15" s="81">
        <v>5555.62547</v>
      </c>
      <c r="D15" s="81">
        <v>2753.0030600000005</v>
      </c>
    </row>
    <row r="16" spans="1:4" ht="12.75">
      <c r="A16" s="557">
        <v>41274</v>
      </c>
      <c r="B16" s="81">
        <v>2291</v>
      </c>
      <c r="C16" s="81">
        <v>5878.023220000001</v>
      </c>
      <c r="D16" s="81">
        <v>2920.2274</v>
      </c>
    </row>
  </sheetData>
  <sheetProtection/>
  <mergeCells count="1">
    <mergeCell ref="A3:D3"/>
  </mergeCells>
  <printOptions/>
  <pageMargins left="0.75" right="0.75" top="1" bottom="1" header="0.4921259845" footer="0.4921259845"/>
  <pageSetup fitToHeight="1" fitToWidth="1"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3" tint="0.39998000860214233"/>
    <pageSetUpPr fitToPage="1"/>
  </sheetPr>
  <dimension ref="B3:L20"/>
  <sheetViews>
    <sheetView zoomScalePageLayoutView="0" workbookViewId="0" topLeftCell="A1">
      <selection activeCell="K18" sqref="K18"/>
    </sheetView>
  </sheetViews>
  <sheetFormatPr defaultColWidth="9.140625" defaultRowHeight="12.75"/>
  <cols>
    <col min="1" max="1" width="9.140625" style="141" customWidth="1"/>
    <col min="2" max="2" width="34.28125" style="141" customWidth="1"/>
    <col min="3" max="3" width="28.7109375" style="141" customWidth="1"/>
    <col min="4" max="9" width="10.28125" style="141" customWidth="1"/>
    <col min="10" max="10" width="11.7109375" style="141" customWidth="1"/>
    <col min="11" max="11" width="25.00390625" style="141" customWidth="1"/>
    <col min="12" max="12" width="12.28125" style="141" customWidth="1"/>
    <col min="13" max="16384" width="9.140625" style="141" customWidth="1"/>
  </cols>
  <sheetData>
    <row r="3" spans="2:9" ht="52.5" customHeight="1">
      <c r="B3" s="749" t="s">
        <v>370</v>
      </c>
      <c r="C3" s="750"/>
      <c r="D3" s="558"/>
      <c r="E3" s="558"/>
      <c r="F3" s="558"/>
      <c r="G3" s="558"/>
      <c r="H3" s="558"/>
      <c r="I3" s="558"/>
    </row>
    <row r="5" spans="2:9" ht="24" customHeight="1">
      <c r="B5" s="751" t="s">
        <v>371</v>
      </c>
      <c r="C5" s="751"/>
      <c r="D5" s="559"/>
      <c r="E5" s="559"/>
      <c r="F5" s="559"/>
      <c r="G5" s="559"/>
      <c r="H5" s="559"/>
      <c r="I5" s="559"/>
    </row>
    <row r="6" spans="2:9" ht="12.75">
      <c r="B6" s="751"/>
      <c r="C6" s="751"/>
      <c r="D6" s="559"/>
      <c r="E6" s="559"/>
      <c r="F6" s="559"/>
      <c r="G6" s="559"/>
      <c r="H6" s="559"/>
      <c r="I6" s="559"/>
    </row>
    <row r="7" spans="2:12" ht="32.25" customHeight="1">
      <c r="B7" s="560" t="s">
        <v>372</v>
      </c>
      <c r="C7" s="561">
        <v>1985.7803</v>
      </c>
      <c r="D7" s="559"/>
      <c r="E7" s="559"/>
      <c r="F7" s="559"/>
      <c r="G7" s="559"/>
      <c r="H7" s="559"/>
      <c r="I7" s="559"/>
      <c r="L7" s="562"/>
    </row>
    <row r="8" spans="2:12" ht="30.75" customHeight="1">
      <c r="B8" s="560" t="s">
        <v>373</v>
      </c>
      <c r="C8" s="561">
        <v>592.15021</v>
      </c>
      <c r="D8" s="559"/>
      <c r="E8" s="559"/>
      <c r="F8" s="559"/>
      <c r="G8" s="559"/>
      <c r="H8" s="559"/>
      <c r="I8" s="559"/>
      <c r="J8" s="563"/>
      <c r="K8" s="563"/>
      <c r="L8" s="563"/>
    </row>
    <row r="9" spans="2:12" ht="12.75">
      <c r="B9" s="564" t="s">
        <v>374</v>
      </c>
      <c r="C9" s="565"/>
      <c r="D9" s="565"/>
      <c r="E9" s="565"/>
      <c r="F9" s="565"/>
      <c r="G9" s="565"/>
      <c r="H9" s="565"/>
      <c r="I9" s="565"/>
      <c r="J9" s="566"/>
      <c r="K9" s="563"/>
      <c r="L9" s="563"/>
    </row>
    <row r="10" spans="2:12" ht="12.75">
      <c r="B10" s="565"/>
      <c r="C10" s="565"/>
      <c r="D10" s="565"/>
      <c r="E10" s="565"/>
      <c r="F10" s="565"/>
      <c r="G10" s="565"/>
      <c r="H10" s="565"/>
      <c r="I10" s="565"/>
      <c r="J10" s="566"/>
      <c r="K10" s="563"/>
      <c r="L10" s="563"/>
    </row>
    <row r="11" spans="2:12" ht="12.75">
      <c r="B11" s="565"/>
      <c r="C11" s="565"/>
      <c r="D11" s="565"/>
      <c r="E11" s="565"/>
      <c r="F11" s="565"/>
      <c r="G11" s="565"/>
      <c r="H11" s="565"/>
      <c r="I11" s="565"/>
      <c r="K11" s="563"/>
      <c r="L11" s="563"/>
    </row>
    <row r="12" spans="2:10" ht="34.5" customHeight="1">
      <c r="B12" s="751" t="s">
        <v>375</v>
      </c>
      <c r="C12" s="751"/>
      <c r="D12" s="553" t="s">
        <v>376</v>
      </c>
      <c r="E12" s="553" t="s">
        <v>376</v>
      </c>
      <c r="F12" s="553" t="s">
        <v>376</v>
      </c>
      <c r="G12" s="553" t="s">
        <v>376</v>
      </c>
      <c r="H12" s="553" t="s">
        <v>376</v>
      </c>
      <c r="I12" s="553" t="s">
        <v>376</v>
      </c>
      <c r="J12" s="567" t="s">
        <v>377</v>
      </c>
    </row>
    <row r="13" spans="2:10" ht="22.5" customHeight="1">
      <c r="B13" s="751"/>
      <c r="C13" s="751"/>
      <c r="D13" s="568" t="s">
        <v>378</v>
      </c>
      <c r="E13" s="568" t="s">
        <v>379</v>
      </c>
      <c r="F13" s="568" t="s">
        <v>380</v>
      </c>
      <c r="G13" s="568" t="s">
        <v>381</v>
      </c>
      <c r="H13" s="568" t="s">
        <v>382</v>
      </c>
      <c r="I13" s="568" t="s">
        <v>383</v>
      </c>
      <c r="J13" s="568"/>
    </row>
    <row r="14" spans="2:10" ht="12.75">
      <c r="B14" s="752" t="s">
        <v>384</v>
      </c>
      <c r="C14" s="11" t="s">
        <v>385</v>
      </c>
      <c r="D14" s="561">
        <v>246</v>
      </c>
      <c r="E14" s="561">
        <v>249</v>
      </c>
      <c r="F14" s="561">
        <v>326</v>
      </c>
      <c r="G14" s="561">
        <v>359</v>
      </c>
      <c r="H14" s="561">
        <v>752</v>
      </c>
      <c r="I14" s="561">
        <v>645</v>
      </c>
      <c r="J14" s="561">
        <f>SUM(D14:I14)</f>
        <v>2577</v>
      </c>
    </row>
    <row r="15" spans="2:10" ht="12.75">
      <c r="B15" s="752"/>
      <c r="C15" s="11" t="s">
        <v>386</v>
      </c>
      <c r="D15" s="561">
        <v>171.93291</v>
      </c>
      <c r="E15" s="561">
        <v>142.4412</v>
      </c>
      <c r="F15" s="561">
        <v>361.67658</v>
      </c>
      <c r="G15" s="561">
        <v>252.47148</v>
      </c>
      <c r="H15" s="561">
        <v>506.8302199999997</v>
      </c>
      <c r="I15" s="561">
        <v>550.4279099999999</v>
      </c>
      <c r="J15" s="561">
        <f>SUM(D15:I15)</f>
        <v>1985.7802999999997</v>
      </c>
    </row>
    <row r="16" spans="2:10" ht="12.75">
      <c r="B16" s="567" t="s">
        <v>387</v>
      </c>
      <c r="C16" s="11" t="s">
        <v>386</v>
      </c>
      <c r="D16" s="561">
        <v>16.19688</v>
      </c>
      <c r="E16" s="561">
        <v>3.0074300000000003</v>
      </c>
      <c r="F16" s="561">
        <v>9.340980000000002</v>
      </c>
      <c r="G16" s="561">
        <v>5.593279999999999</v>
      </c>
      <c r="H16" s="561">
        <v>12.7815</v>
      </c>
      <c r="I16" s="561">
        <v>1.5004600000000001</v>
      </c>
      <c r="J16" s="561">
        <f>SUM(D16:I16)</f>
        <v>48.42053</v>
      </c>
    </row>
    <row r="17" spans="2:8" ht="12.75">
      <c r="B17" s="564" t="s">
        <v>388</v>
      </c>
      <c r="D17" s="496"/>
      <c r="E17" s="496"/>
      <c r="F17" s="496"/>
      <c r="G17" s="496"/>
      <c r="H17" s="496"/>
    </row>
    <row r="18" spans="4:9" ht="12.75">
      <c r="D18" s="496"/>
      <c r="E18" s="496"/>
      <c r="F18" s="496"/>
      <c r="G18" s="496"/>
      <c r="H18" s="496"/>
      <c r="I18" s="496"/>
    </row>
    <row r="19" spans="3:9" ht="12.75">
      <c r="C19" s="566"/>
      <c r="D19" s="496"/>
      <c r="E19" s="496"/>
      <c r="F19" s="496"/>
      <c r="G19" s="496"/>
      <c r="H19" s="496"/>
      <c r="I19" s="496"/>
    </row>
    <row r="20" spans="4:9" ht="12.75">
      <c r="D20" s="496"/>
      <c r="E20" s="496"/>
      <c r="F20" s="496"/>
      <c r="G20" s="496"/>
      <c r="H20" s="496"/>
      <c r="I20" s="496"/>
    </row>
  </sheetData>
  <sheetProtection/>
  <mergeCells count="4">
    <mergeCell ref="B3:C3"/>
    <mergeCell ref="B5:C6"/>
    <mergeCell ref="B12:C13"/>
    <mergeCell ref="B14:B15"/>
  </mergeCells>
  <printOptions horizontalCentered="1"/>
  <pageMargins left="0.5511811023622047" right="0.15748031496062992" top="0.984251968503937" bottom="0.984251968503937" header="0.5118110236220472" footer="0.5118110236220472"/>
  <pageSetup fitToHeight="1" fitToWidth="1" horizontalDpi="600" verticalDpi="600" orientation="landscape" paperSize="9" scale="98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3" tint="0.39998000860214233"/>
    <pageSetUpPr fitToPage="1"/>
  </sheetPr>
  <dimension ref="A1:J45"/>
  <sheetViews>
    <sheetView showGridLines="0" zoomScale="85" zoomScaleNormal="85" zoomScalePageLayoutView="0" workbookViewId="0" topLeftCell="A13">
      <selection activeCell="K18" sqref="K18"/>
    </sheetView>
  </sheetViews>
  <sheetFormatPr defaultColWidth="9.140625" defaultRowHeight="15" customHeight="1"/>
  <cols>
    <col min="1" max="1" width="16.00390625" style="569" customWidth="1"/>
    <col min="2" max="2" width="16.8515625" style="569" customWidth="1"/>
    <col min="3" max="3" width="17.57421875" style="569" bestFit="1" customWidth="1"/>
    <col min="4" max="4" width="60.7109375" style="569" customWidth="1"/>
    <col min="5" max="5" width="10.00390625" style="569" bestFit="1" customWidth="1"/>
    <col min="6" max="6" width="16.8515625" style="569" customWidth="1"/>
    <col min="7" max="7" width="15.8515625" style="569" customWidth="1"/>
    <col min="8" max="8" width="15.57421875" style="569" customWidth="1"/>
    <col min="9" max="9" width="13.28125" style="569" customWidth="1"/>
    <col min="10" max="16384" width="9.140625" style="569" customWidth="1"/>
  </cols>
  <sheetData>
    <row r="1" spans="1:8" ht="24.75" customHeight="1">
      <c r="A1" s="754" t="s">
        <v>389</v>
      </c>
      <c r="B1" s="754"/>
      <c r="C1" s="754"/>
      <c r="D1" s="754"/>
      <c r="E1" s="754"/>
      <c r="F1" s="754"/>
      <c r="G1" s="754"/>
      <c r="H1" s="754"/>
    </row>
    <row r="2" spans="1:8" ht="66">
      <c r="A2" s="570" t="s">
        <v>390</v>
      </c>
      <c r="B2" s="570" t="s">
        <v>391</v>
      </c>
      <c r="C2" s="570" t="s">
        <v>296</v>
      </c>
      <c r="D2" s="570" t="s">
        <v>392</v>
      </c>
      <c r="E2" s="571" t="s">
        <v>393</v>
      </c>
      <c r="F2" s="570" t="s">
        <v>394</v>
      </c>
      <c r="G2" s="570" t="s">
        <v>395</v>
      </c>
      <c r="H2" s="570" t="s">
        <v>396</v>
      </c>
    </row>
    <row r="3" spans="1:8" ht="12.75">
      <c r="A3" s="567">
        <v>1</v>
      </c>
      <c r="B3" s="567" t="s">
        <v>397</v>
      </c>
      <c r="C3" s="560" t="s">
        <v>305</v>
      </c>
      <c r="D3" s="560" t="s">
        <v>398</v>
      </c>
      <c r="E3" s="572" t="s">
        <v>399</v>
      </c>
      <c r="F3" s="561">
        <v>5600.5515</v>
      </c>
      <c r="G3" s="561">
        <v>3885.67135</v>
      </c>
      <c r="H3" s="573">
        <f>G3-F3</f>
        <v>-1714.8801499999995</v>
      </c>
    </row>
    <row r="4" spans="1:8" ht="12.75">
      <c r="A4" s="567">
        <v>1</v>
      </c>
      <c r="B4" s="567" t="s">
        <v>397</v>
      </c>
      <c r="C4" s="560" t="s">
        <v>304</v>
      </c>
      <c r="D4" s="560" t="s">
        <v>400</v>
      </c>
      <c r="E4" s="572" t="s">
        <v>401</v>
      </c>
      <c r="F4" s="561">
        <v>3974.5198100000002</v>
      </c>
      <c r="G4" s="561">
        <v>2853.69107</v>
      </c>
      <c r="H4" s="573">
        <f aca="true" t="shared" si="0" ref="H4:H25">G4-F4</f>
        <v>-1120.8287400000004</v>
      </c>
    </row>
    <row r="5" spans="1:8" ht="12.75">
      <c r="A5" s="567">
        <v>1</v>
      </c>
      <c r="B5" s="567" t="s">
        <v>397</v>
      </c>
      <c r="C5" s="560" t="s">
        <v>304</v>
      </c>
      <c r="D5" s="560" t="s">
        <v>402</v>
      </c>
      <c r="E5" s="574">
        <v>31813861</v>
      </c>
      <c r="F5" s="561">
        <v>20420.78531</v>
      </c>
      <c r="G5" s="561">
        <v>18009.744420000003</v>
      </c>
      <c r="H5" s="573">
        <f t="shared" si="0"/>
        <v>-2411.0408899999966</v>
      </c>
    </row>
    <row r="6" spans="1:8" ht="12.75">
      <c r="A6" s="567">
        <v>1</v>
      </c>
      <c r="B6" s="567" t="s">
        <v>397</v>
      </c>
      <c r="C6" s="11" t="s">
        <v>309</v>
      </c>
      <c r="D6" s="560" t="s">
        <v>403</v>
      </c>
      <c r="E6" s="572" t="s">
        <v>404</v>
      </c>
      <c r="F6" s="561">
        <v>2654.09748</v>
      </c>
      <c r="G6" s="561">
        <v>1095.5051299999998</v>
      </c>
      <c r="H6" s="573">
        <f t="shared" si="0"/>
        <v>-1558.5923500000001</v>
      </c>
    </row>
    <row r="7" spans="1:8" ht="12.75">
      <c r="A7" s="567">
        <v>2</v>
      </c>
      <c r="B7" s="567" t="s">
        <v>397</v>
      </c>
      <c r="C7" s="11" t="s">
        <v>332</v>
      </c>
      <c r="D7" s="560" t="s">
        <v>405</v>
      </c>
      <c r="E7" s="572" t="s">
        <v>406</v>
      </c>
      <c r="F7" s="561">
        <v>0.0058</v>
      </c>
      <c r="G7" s="561">
        <v>0.0058</v>
      </c>
      <c r="H7" s="573">
        <f t="shared" si="0"/>
        <v>0</v>
      </c>
    </row>
    <row r="8" spans="1:8" ht="12.75">
      <c r="A8" s="567">
        <v>7</v>
      </c>
      <c r="B8" s="567" t="s">
        <v>397</v>
      </c>
      <c r="C8" s="11" t="s">
        <v>304</v>
      </c>
      <c r="D8" s="11" t="s">
        <v>407</v>
      </c>
      <c r="E8" s="575">
        <v>30853915</v>
      </c>
      <c r="F8" s="561">
        <v>552.55403</v>
      </c>
      <c r="G8" s="561">
        <v>0</v>
      </c>
      <c r="H8" s="573">
        <f t="shared" si="0"/>
        <v>-552.55403</v>
      </c>
    </row>
    <row r="9" spans="1:8" ht="12.75">
      <c r="A9" s="567">
        <v>7</v>
      </c>
      <c r="B9" s="567" t="s">
        <v>397</v>
      </c>
      <c r="C9" s="560" t="s">
        <v>322</v>
      </c>
      <c r="D9" s="560" t="s">
        <v>408</v>
      </c>
      <c r="E9" s="574">
        <v>17336082</v>
      </c>
      <c r="F9" s="561">
        <v>0</v>
      </c>
      <c r="G9" s="561">
        <v>3.12391</v>
      </c>
      <c r="H9" s="573">
        <f t="shared" si="0"/>
        <v>3.12391</v>
      </c>
    </row>
    <row r="10" spans="1:8" ht="12.75">
      <c r="A10" s="553">
        <v>8</v>
      </c>
      <c r="B10" s="567" t="s">
        <v>409</v>
      </c>
      <c r="C10" s="560" t="s">
        <v>310</v>
      </c>
      <c r="D10" s="560" t="s">
        <v>410</v>
      </c>
      <c r="E10" s="576">
        <v>17335469</v>
      </c>
      <c r="F10" s="561">
        <v>974.87787</v>
      </c>
      <c r="G10" s="561">
        <v>976.49616</v>
      </c>
      <c r="H10" s="573">
        <f t="shared" si="0"/>
        <v>1.6182900000000018</v>
      </c>
    </row>
    <row r="11" spans="1:8" ht="26.25">
      <c r="A11" s="567">
        <v>8</v>
      </c>
      <c r="B11" s="567" t="s">
        <v>409</v>
      </c>
      <c r="C11" s="560" t="s">
        <v>302</v>
      </c>
      <c r="D11" s="560" t="s">
        <v>411</v>
      </c>
      <c r="E11" s="574" t="s">
        <v>412</v>
      </c>
      <c r="F11" s="561">
        <v>1611.41041</v>
      </c>
      <c r="G11" s="561">
        <v>1627.1827700000001</v>
      </c>
      <c r="H11" s="573">
        <f t="shared" si="0"/>
        <v>15.772360000000162</v>
      </c>
    </row>
    <row r="12" spans="1:8" ht="12.75">
      <c r="A12" s="567">
        <v>8</v>
      </c>
      <c r="B12" s="567" t="s">
        <v>409</v>
      </c>
      <c r="C12" s="560" t="s">
        <v>319</v>
      </c>
      <c r="D12" s="560" t="s">
        <v>413</v>
      </c>
      <c r="E12" s="574">
        <v>17335965</v>
      </c>
      <c r="F12" s="561">
        <v>924.6629399999999</v>
      </c>
      <c r="G12" s="561">
        <v>852.6629399999999</v>
      </c>
      <c r="H12" s="573">
        <f t="shared" si="0"/>
        <v>-72</v>
      </c>
    </row>
    <row r="13" spans="1:8" ht="12.75">
      <c r="A13" s="553">
        <v>8</v>
      </c>
      <c r="B13" s="567" t="s">
        <v>409</v>
      </c>
      <c r="C13" s="11" t="s">
        <v>319</v>
      </c>
      <c r="D13" s="560" t="s">
        <v>414</v>
      </c>
      <c r="E13" s="572">
        <v>44455356</v>
      </c>
      <c r="F13" s="561">
        <v>105.76017999999999</v>
      </c>
      <c r="G13" s="561">
        <v>211.38529</v>
      </c>
      <c r="H13" s="573">
        <f t="shared" si="0"/>
        <v>105.62511</v>
      </c>
    </row>
    <row r="14" spans="1:8" ht="12.75">
      <c r="A14" s="567">
        <v>8</v>
      </c>
      <c r="B14" s="567" t="s">
        <v>409</v>
      </c>
      <c r="C14" s="11" t="s">
        <v>323</v>
      </c>
      <c r="D14" s="560" t="s">
        <v>415</v>
      </c>
      <c r="E14" s="574" t="s">
        <v>416</v>
      </c>
      <c r="F14" s="561">
        <v>738.06413</v>
      </c>
      <c r="G14" s="561">
        <v>627.39993</v>
      </c>
      <c r="H14" s="573">
        <f t="shared" si="0"/>
        <v>-110.66419999999994</v>
      </c>
    </row>
    <row r="15" spans="1:8" ht="26.25">
      <c r="A15" s="553">
        <v>8</v>
      </c>
      <c r="B15" s="567" t="s">
        <v>409</v>
      </c>
      <c r="C15" s="560" t="s">
        <v>317</v>
      </c>
      <c r="D15" s="560" t="s">
        <v>417</v>
      </c>
      <c r="E15" s="572">
        <v>17336163</v>
      </c>
      <c r="F15" s="561">
        <v>1792.8736000000001</v>
      </c>
      <c r="G15" s="561">
        <v>1854.61581</v>
      </c>
      <c r="H15" s="573">
        <f t="shared" si="0"/>
        <v>61.742209999999886</v>
      </c>
    </row>
    <row r="16" spans="1:8" ht="12.75">
      <c r="A16" s="553">
        <v>8</v>
      </c>
      <c r="B16" s="567" t="s">
        <v>409</v>
      </c>
      <c r="C16" s="560" t="s">
        <v>306</v>
      </c>
      <c r="D16" s="560" t="s">
        <v>418</v>
      </c>
      <c r="E16" s="574" t="s">
        <v>419</v>
      </c>
      <c r="F16" s="561">
        <v>5996.47531</v>
      </c>
      <c r="G16" s="561">
        <v>6150.69375</v>
      </c>
      <c r="H16" s="573">
        <f t="shared" si="0"/>
        <v>154.21844000000056</v>
      </c>
    </row>
    <row r="17" spans="1:8" ht="12.75">
      <c r="A17" s="567">
        <v>8</v>
      </c>
      <c r="B17" s="567" t="s">
        <v>409</v>
      </c>
      <c r="C17" s="11" t="s">
        <v>303</v>
      </c>
      <c r="D17" s="560" t="s">
        <v>420</v>
      </c>
      <c r="E17" s="574">
        <v>17335795</v>
      </c>
      <c r="F17" s="561">
        <v>4637.270769999999</v>
      </c>
      <c r="G17" s="561">
        <v>4817.270769999999</v>
      </c>
      <c r="H17" s="573">
        <f t="shared" si="0"/>
        <v>180</v>
      </c>
    </row>
    <row r="18" spans="1:8" ht="12.75">
      <c r="A18" s="567">
        <v>8</v>
      </c>
      <c r="B18" s="567" t="s">
        <v>409</v>
      </c>
      <c r="C18" s="11" t="s">
        <v>313</v>
      </c>
      <c r="D18" s="560" t="s">
        <v>421</v>
      </c>
      <c r="E18" s="572" t="s">
        <v>422</v>
      </c>
      <c r="F18" s="561">
        <v>2520.23941</v>
      </c>
      <c r="G18" s="561">
        <v>2591.25051</v>
      </c>
      <c r="H18" s="573">
        <f t="shared" si="0"/>
        <v>71.01109999999971</v>
      </c>
    </row>
    <row r="19" spans="1:8" ht="12.75">
      <c r="A19" s="567">
        <v>8</v>
      </c>
      <c r="B19" s="567" t="s">
        <v>409</v>
      </c>
      <c r="C19" s="11" t="s">
        <v>313</v>
      </c>
      <c r="D19" s="560" t="s">
        <v>423</v>
      </c>
      <c r="E19" s="572" t="s">
        <v>424</v>
      </c>
      <c r="F19" s="561">
        <v>351.6405</v>
      </c>
      <c r="G19" s="561">
        <v>351.6405</v>
      </c>
      <c r="H19" s="573">
        <f t="shared" si="0"/>
        <v>0</v>
      </c>
    </row>
    <row r="20" spans="1:8" ht="12.75">
      <c r="A20" s="553">
        <v>8</v>
      </c>
      <c r="B20" s="567" t="s">
        <v>409</v>
      </c>
      <c r="C20" s="560" t="s">
        <v>318</v>
      </c>
      <c r="D20" s="577" t="s">
        <v>425</v>
      </c>
      <c r="E20" s="574">
        <v>36597376</v>
      </c>
      <c r="F20" s="561">
        <v>4.30657</v>
      </c>
      <c r="G20" s="561">
        <v>0</v>
      </c>
      <c r="H20" s="573">
        <f t="shared" si="0"/>
        <v>-4.30657</v>
      </c>
    </row>
    <row r="21" spans="1:8" ht="12.75">
      <c r="A21" s="567">
        <v>10</v>
      </c>
      <c r="B21" s="567" t="s">
        <v>409</v>
      </c>
      <c r="C21" s="560" t="s">
        <v>320</v>
      </c>
      <c r="D21" s="560" t="s">
        <v>426</v>
      </c>
      <c r="E21" s="572">
        <v>17336015</v>
      </c>
      <c r="F21" s="561">
        <v>174.05504000000002</v>
      </c>
      <c r="G21" s="561">
        <v>211.85062</v>
      </c>
      <c r="H21" s="573">
        <f t="shared" si="0"/>
        <v>37.79557999999997</v>
      </c>
    </row>
    <row r="22" spans="1:8" ht="23.25" customHeight="1">
      <c r="A22" s="553">
        <v>11</v>
      </c>
      <c r="B22" s="567" t="s">
        <v>409</v>
      </c>
      <c r="C22" s="560" t="s">
        <v>315</v>
      </c>
      <c r="D22" s="560" t="s">
        <v>427</v>
      </c>
      <c r="E22" s="572">
        <v>36167991</v>
      </c>
      <c r="F22" s="561">
        <v>92.78554</v>
      </c>
      <c r="G22" s="561">
        <v>86.16513</v>
      </c>
      <c r="H22" s="573">
        <f t="shared" si="0"/>
        <v>-6.620409999999993</v>
      </c>
    </row>
    <row r="23" spans="1:10" s="578" customFormat="1" ht="15">
      <c r="A23" s="567">
        <v>11</v>
      </c>
      <c r="B23" s="567" t="s">
        <v>409</v>
      </c>
      <c r="C23" s="11" t="s">
        <v>306</v>
      </c>
      <c r="D23" s="11" t="s">
        <v>428</v>
      </c>
      <c r="E23" s="576" t="s">
        <v>429</v>
      </c>
      <c r="F23" s="561">
        <v>1716.25254</v>
      </c>
      <c r="G23" s="561">
        <v>1756.49349</v>
      </c>
      <c r="H23" s="573">
        <f t="shared" si="0"/>
        <v>40.24095000000011</v>
      </c>
      <c r="I23" s="569"/>
      <c r="J23" s="569"/>
    </row>
    <row r="24" spans="1:8" s="578" customFormat="1" ht="15">
      <c r="A24" s="567">
        <v>11</v>
      </c>
      <c r="B24" s="567" t="s">
        <v>409</v>
      </c>
      <c r="C24" s="560" t="s">
        <v>321</v>
      </c>
      <c r="D24" s="560" t="s">
        <v>430</v>
      </c>
      <c r="E24" s="576">
        <v>31908977</v>
      </c>
      <c r="F24" s="561">
        <v>63.22679</v>
      </c>
      <c r="G24" s="561">
        <v>77.01282</v>
      </c>
      <c r="H24" s="573">
        <f t="shared" si="0"/>
        <v>13.786030000000004</v>
      </c>
    </row>
    <row r="25" spans="1:8" s="141" customFormat="1" ht="26.25">
      <c r="A25" s="567">
        <v>12</v>
      </c>
      <c r="B25" s="567" t="s">
        <v>409</v>
      </c>
      <c r="C25" s="560" t="s">
        <v>314</v>
      </c>
      <c r="D25" s="560" t="s">
        <v>431</v>
      </c>
      <c r="E25" s="579">
        <v>45736324</v>
      </c>
      <c r="F25" s="561">
        <v>644.55624</v>
      </c>
      <c r="G25" s="561">
        <v>671.07432</v>
      </c>
      <c r="H25" s="573">
        <f t="shared" si="0"/>
        <v>26.51807999999994</v>
      </c>
    </row>
    <row r="26" spans="1:8" s="141" customFormat="1" ht="12.75">
      <c r="A26" s="580" t="s">
        <v>4</v>
      </c>
      <c r="B26" s="580"/>
      <c r="C26" s="580"/>
      <c r="D26" s="580"/>
      <c r="E26" s="580"/>
      <c r="F26" s="510">
        <f>SUM(F3:F25)</f>
        <v>55550.97176999999</v>
      </c>
      <c r="G26" s="510">
        <f>SUM(G3:G25)</f>
        <v>48710.93649</v>
      </c>
      <c r="H26" s="510">
        <f>SUM(H3:H25)</f>
        <v>-6840.035279999996</v>
      </c>
    </row>
    <row r="27" spans="1:8" s="141" customFormat="1" ht="13.5">
      <c r="A27" s="581" t="s">
        <v>432</v>
      </c>
      <c r="B27" s="582"/>
      <c r="C27" s="582"/>
      <c r="D27" s="582"/>
      <c r="E27" s="582"/>
      <c r="F27" s="583"/>
      <c r="G27" s="583"/>
      <c r="H27" s="583"/>
    </row>
    <row r="28" spans="1:8" s="141" customFormat="1" ht="13.5">
      <c r="A28" s="584" t="s">
        <v>390</v>
      </c>
      <c r="B28" s="582"/>
      <c r="C28" s="582"/>
      <c r="D28" s="582"/>
      <c r="E28" s="582"/>
      <c r="F28" s="583"/>
      <c r="G28" s="583"/>
      <c r="H28" s="583"/>
    </row>
    <row r="29" spans="1:6" s="503" customFormat="1" ht="12.75" customHeight="1">
      <c r="A29" s="585">
        <v>1</v>
      </c>
      <c r="B29" s="755" t="s">
        <v>433</v>
      </c>
      <c r="C29" s="755"/>
      <c r="D29" s="755"/>
      <c r="F29" s="586"/>
    </row>
    <row r="30" spans="1:6" s="503" customFormat="1" ht="12.75" customHeight="1">
      <c r="A30" s="585">
        <v>2</v>
      </c>
      <c r="B30" s="755" t="s">
        <v>434</v>
      </c>
      <c r="C30" s="755"/>
      <c r="D30" s="755"/>
      <c r="F30" s="587"/>
    </row>
    <row r="31" spans="1:6" s="503" customFormat="1" ht="12.75" customHeight="1">
      <c r="A31" s="585">
        <v>3</v>
      </c>
      <c r="B31" s="753" t="s">
        <v>435</v>
      </c>
      <c r="C31" s="753"/>
      <c r="D31" s="753"/>
      <c r="F31" s="587"/>
    </row>
    <row r="32" spans="1:4" s="503" customFormat="1" ht="12.75" customHeight="1">
      <c r="A32" s="585">
        <v>4</v>
      </c>
      <c r="B32" s="753" t="s">
        <v>436</v>
      </c>
      <c r="C32" s="753"/>
      <c r="D32" s="753"/>
    </row>
    <row r="33" spans="1:4" s="503" customFormat="1" ht="12.75" customHeight="1">
      <c r="A33" s="585">
        <v>5</v>
      </c>
      <c r="B33" s="753" t="s">
        <v>437</v>
      </c>
      <c r="C33" s="753"/>
      <c r="D33" s="753"/>
    </row>
    <row r="34" spans="1:4" s="503" customFormat="1" ht="12.75" customHeight="1">
      <c r="A34" s="585">
        <v>6</v>
      </c>
      <c r="B34" s="753" t="s">
        <v>438</v>
      </c>
      <c r="C34" s="753"/>
      <c r="D34" s="753"/>
    </row>
    <row r="35" spans="1:5" s="503" customFormat="1" ht="12.75" customHeight="1">
      <c r="A35" s="585">
        <v>7</v>
      </c>
      <c r="B35" s="753" t="s">
        <v>439</v>
      </c>
      <c r="C35" s="753"/>
      <c r="D35" s="753"/>
      <c r="E35" s="552"/>
    </row>
    <row r="36" spans="1:5" s="503" customFormat="1" ht="12.75" customHeight="1">
      <c r="A36" s="585">
        <v>8</v>
      </c>
      <c r="B36" s="753" t="s">
        <v>440</v>
      </c>
      <c r="C36" s="753"/>
      <c r="D36" s="753"/>
      <c r="E36" s="552"/>
    </row>
    <row r="37" spans="1:6" s="503" customFormat="1" ht="12.75" customHeight="1">
      <c r="A37" s="585">
        <v>9</v>
      </c>
      <c r="B37" s="753" t="s">
        <v>441</v>
      </c>
      <c r="C37" s="753"/>
      <c r="D37" s="753"/>
      <c r="E37" s="588"/>
      <c r="F37" s="589"/>
    </row>
    <row r="38" spans="1:5" s="503" customFormat="1" ht="12.75" customHeight="1">
      <c r="A38" s="585">
        <v>10</v>
      </c>
      <c r="B38" s="753" t="s">
        <v>442</v>
      </c>
      <c r="C38" s="753"/>
      <c r="D38" s="753"/>
      <c r="E38" s="552"/>
    </row>
    <row r="39" spans="1:5" s="503" customFormat="1" ht="12.75" customHeight="1">
      <c r="A39" s="585">
        <v>11</v>
      </c>
      <c r="B39" s="753" t="s">
        <v>443</v>
      </c>
      <c r="C39" s="753"/>
      <c r="D39" s="753"/>
      <c r="E39" s="552"/>
    </row>
    <row r="40" spans="1:5" s="503" customFormat="1" ht="12.75" customHeight="1">
      <c r="A40" s="585">
        <v>12</v>
      </c>
      <c r="B40" s="753" t="s">
        <v>444</v>
      </c>
      <c r="C40" s="753"/>
      <c r="D40" s="753"/>
      <c r="E40" s="590"/>
    </row>
    <row r="41" spans="1:5" s="503" customFormat="1" ht="12.75" customHeight="1">
      <c r="A41" s="585">
        <v>13</v>
      </c>
      <c r="B41" s="753" t="s">
        <v>445</v>
      </c>
      <c r="C41" s="753"/>
      <c r="D41" s="753"/>
      <c r="E41" s="590"/>
    </row>
    <row r="42" s="578" customFormat="1" ht="9.75" customHeight="1">
      <c r="E42" s="591"/>
    </row>
    <row r="43" spans="1:5" s="578" customFormat="1" ht="15">
      <c r="A43" s="592" t="s">
        <v>391</v>
      </c>
      <c r="B43" s="593"/>
      <c r="E43" s="591"/>
    </row>
    <row r="44" spans="1:5" s="503" customFormat="1" ht="12.75" customHeight="1">
      <c r="A44" s="585" t="s">
        <v>397</v>
      </c>
      <c r="B44" s="753" t="s">
        <v>446</v>
      </c>
      <c r="C44" s="753"/>
      <c r="D44" s="753"/>
      <c r="E44" s="590"/>
    </row>
    <row r="45" spans="1:4" s="503" customFormat="1" ht="12.75" customHeight="1">
      <c r="A45" s="585" t="s">
        <v>409</v>
      </c>
      <c r="B45" s="753" t="s">
        <v>447</v>
      </c>
      <c r="C45" s="753"/>
      <c r="D45" s="753"/>
    </row>
    <row r="46" ht="12.75"/>
  </sheetData>
  <sheetProtection/>
  <mergeCells count="16">
    <mergeCell ref="B40:D40"/>
    <mergeCell ref="B41:D41"/>
    <mergeCell ref="B44:D44"/>
    <mergeCell ref="B45:D45"/>
    <mergeCell ref="B34:D34"/>
    <mergeCell ref="B35:D35"/>
    <mergeCell ref="B36:D36"/>
    <mergeCell ref="B37:D37"/>
    <mergeCell ref="B38:D38"/>
    <mergeCell ref="B39:D39"/>
    <mergeCell ref="B33:D33"/>
    <mergeCell ref="A1:H1"/>
    <mergeCell ref="B29:D29"/>
    <mergeCell ref="B30:D30"/>
    <mergeCell ref="B31:D31"/>
    <mergeCell ref="B32:D32"/>
  </mergeCells>
  <conditionalFormatting sqref="H3:H28">
    <cfRule type="cellIs" priority="1" dxfId="0" operator="lessThan" stopIfTrue="1">
      <formula>0</formula>
    </cfRule>
  </conditionalFormatting>
  <printOptions horizontalCentered="1"/>
  <pageMargins left="0.1968503937007874" right="0.1968503937007874" top="0.7874015748031497" bottom="0.1968503937007874" header="0.3937007874015748" footer="0.1968503937007874"/>
  <pageSetup fitToHeight="1" fitToWidth="1" horizontalDpi="600" verticalDpi="600" orientation="landscape" paperSize="9" scale="77" r:id="rId1"/>
  <headerFooter alignWithMargins="0">
    <oddHeader>&amp;C
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3" tint="0.39998000860214233"/>
    <pageSetUpPr fitToPage="1"/>
  </sheetPr>
  <dimension ref="A1:O88"/>
  <sheetViews>
    <sheetView zoomScale="70" zoomScaleNormal="70" zoomScalePageLayoutView="0" workbookViewId="0" topLeftCell="A64">
      <selection activeCell="K18" sqref="K18"/>
    </sheetView>
  </sheetViews>
  <sheetFormatPr defaultColWidth="9.140625" defaultRowHeight="12.75"/>
  <cols>
    <col min="1" max="1" width="16.28125" style="141" customWidth="1"/>
    <col min="2" max="2" width="9.28125" style="141" customWidth="1"/>
    <col min="3" max="3" width="9.57421875" style="141" customWidth="1"/>
    <col min="4" max="4" width="50.140625" style="141" customWidth="1"/>
    <col min="5" max="5" width="10.421875" style="141" bestFit="1" customWidth="1"/>
    <col min="6" max="6" width="13.140625" style="141" customWidth="1"/>
    <col min="7" max="7" width="16.140625" style="141" customWidth="1"/>
    <col min="8" max="8" width="15.7109375" style="141" customWidth="1"/>
    <col min="9" max="9" width="13.421875" style="141" customWidth="1"/>
    <col min="10" max="10" width="14.140625" style="141" customWidth="1"/>
    <col min="11" max="11" width="13.7109375" style="141" customWidth="1"/>
    <col min="12" max="12" width="13.28125" style="141" customWidth="1"/>
    <col min="13" max="13" width="14.421875" style="141" customWidth="1"/>
    <col min="14" max="14" width="15.57421875" style="141" customWidth="1"/>
    <col min="15" max="15" width="15.140625" style="141" customWidth="1"/>
    <col min="16" max="16384" width="9.140625" style="141" customWidth="1"/>
  </cols>
  <sheetData>
    <row r="1" spans="1:10" ht="26.25" customHeight="1">
      <c r="A1" s="756" t="s">
        <v>448</v>
      </c>
      <c r="B1" s="757"/>
      <c r="C1" s="757"/>
      <c r="D1" s="757"/>
      <c r="E1" s="757"/>
      <c r="F1" s="757"/>
      <c r="G1" s="757"/>
      <c r="H1" s="757"/>
      <c r="I1" s="757"/>
      <c r="J1" s="757"/>
    </row>
    <row r="2" spans="1:15" ht="15" customHeight="1">
      <c r="A2" s="758" t="s">
        <v>296</v>
      </c>
      <c r="B2" s="760" t="s">
        <v>449</v>
      </c>
      <c r="C2" s="760" t="s">
        <v>450</v>
      </c>
      <c r="D2" s="760" t="s">
        <v>392</v>
      </c>
      <c r="E2" s="760" t="s">
        <v>393</v>
      </c>
      <c r="F2" s="760" t="s">
        <v>451</v>
      </c>
      <c r="G2" s="762" t="s">
        <v>452</v>
      </c>
      <c r="H2" s="760" t="s">
        <v>453</v>
      </c>
      <c r="I2" s="760" t="s">
        <v>454</v>
      </c>
      <c r="J2" s="760" t="s">
        <v>455</v>
      </c>
      <c r="K2" s="764" t="s">
        <v>456</v>
      </c>
      <c r="L2" s="765"/>
      <c r="M2" s="765"/>
      <c r="N2" s="766"/>
      <c r="O2" s="762" t="s">
        <v>457</v>
      </c>
    </row>
    <row r="3" spans="1:15" ht="112.5" customHeight="1">
      <c r="A3" s="759"/>
      <c r="B3" s="761"/>
      <c r="C3" s="761"/>
      <c r="D3" s="761"/>
      <c r="E3" s="761"/>
      <c r="F3" s="761"/>
      <c r="G3" s="763"/>
      <c r="H3" s="761"/>
      <c r="I3" s="761"/>
      <c r="J3" s="761"/>
      <c r="K3" s="594" t="s">
        <v>458</v>
      </c>
      <c r="L3" s="595" t="s">
        <v>459</v>
      </c>
      <c r="M3" s="595" t="s">
        <v>460</v>
      </c>
      <c r="N3" s="595" t="s">
        <v>461</v>
      </c>
      <c r="O3" s="763"/>
    </row>
    <row r="4" spans="1:15" ht="26.25">
      <c r="A4" s="560" t="s">
        <v>305</v>
      </c>
      <c r="B4" s="567">
        <v>1</v>
      </c>
      <c r="C4" s="567" t="s">
        <v>397</v>
      </c>
      <c r="D4" s="596" t="s">
        <v>398</v>
      </c>
      <c r="E4" s="572" t="s">
        <v>399</v>
      </c>
      <c r="F4" s="568" t="s">
        <v>462</v>
      </c>
      <c r="G4" s="597">
        <v>3885.67135</v>
      </c>
      <c r="H4" s="598"/>
      <c r="I4" s="11"/>
      <c r="J4" s="11"/>
      <c r="K4" s="599"/>
      <c r="L4" s="600">
        <v>4343.560080993161</v>
      </c>
      <c r="M4" s="601">
        <v>39510</v>
      </c>
      <c r="N4" s="599">
        <v>996.548230764124</v>
      </c>
      <c r="O4" s="599">
        <v>2200</v>
      </c>
    </row>
    <row r="5" spans="1:15" ht="12.75">
      <c r="A5" s="560" t="s">
        <v>330</v>
      </c>
      <c r="B5" s="567">
        <v>11</v>
      </c>
      <c r="C5" s="567" t="s">
        <v>409</v>
      </c>
      <c r="D5" s="560" t="s">
        <v>463</v>
      </c>
      <c r="E5" s="574">
        <v>36167908</v>
      </c>
      <c r="F5" s="568" t="s">
        <v>464</v>
      </c>
      <c r="G5" s="597">
        <v>0</v>
      </c>
      <c r="H5" s="598"/>
      <c r="I5" s="11"/>
      <c r="J5" s="11"/>
      <c r="K5" s="600">
        <v>48.96221</v>
      </c>
      <c r="L5" s="600">
        <v>49.04725</v>
      </c>
      <c r="M5" s="601">
        <v>39967</v>
      </c>
      <c r="N5" s="599">
        <v>0</v>
      </c>
      <c r="O5" s="599"/>
    </row>
    <row r="6" spans="1:15" ht="12.75">
      <c r="A6" s="560" t="s">
        <v>304</v>
      </c>
      <c r="B6" s="567">
        <v>1</v>
      </c>
      <c r="C6" s="567" t="s">
        <v>397</v>
      </c>
      <c r="D6" s="560" t="s">
        <v>400</v>
      </c>
      <c r="E6" s="572" t="s">
        <v>401</v>
      </c>
      <c r="F6" s="568" t="s">
        <v>462</v>
      </c>
      <c r="G6" s="597">
        <v>2853.69107</v>
      </c>
      <c r="H6" s="602"/>
      <c r="I6" s="575"/>
      <c r="J6" s="553"/>
      <c r="K6" s="600">
        <v>478.75642</v>
      </c>
      <c r="L6" s="600">
        <v>10363.452029999999</v>
      </c>
      <c r="M6" s="601">
        <v>39841</v>
      </c>
      <c r="N6" s="599">
        <v>8457.00588</v>
      </c>
      <c r="O6" s="599">
        <v>1500</v>
      </c>
    </row>
    <row r="7" spans="1:15" ht="12.75">
      <c r="A7" s="560" t="s">
        <v>304</v>
      </c>
      <c r="B7" s="567">
        <v>1</v>
      </c>
      <c r="C7" s="567" t="s">
        <v>397</v>
      </c>
      <c r="D7" s="560" t="s">
        <v>402</v>
      </c>
      <c r="E7" s="574">
        <v>31813861</v>
      </c>
      <c r="F7" s="568" t="s">
        <v>462</v>
      </c>
      <c r="G7" s="597">
        <v>18009.744420000003</v>
      </c>
      <c r="H7" s="602"/>
      <c r="I7" s="575"/>
      <c r="J7" s="553"/>
      <c r="K7" s="599"/>
      <c r="L7" s="599"/>
      <c r="M7" s="11"/>
      <c r="N7" s="599"/>
      <c r="O7" s="599">
        <v>4200</v>
      </c>
    </row>
    <row r="8" spans="1:15" ht="12.75">
      <c r="A8" s="560" t="s">
        <v>304</v>
      </c>
      <c r="B8" s="567">
        <v>7</v>
      </c>
      <c r="C8" s="567" t="s">
        <v>397</v>
      </c>
      <c r="D8" s="560" t="s">
        <v>407</v>
      </c>
      <c r="E8" s="574">
        <v>30853915</v>
      </c>
      <c r="F8" s="568" t="s">
        <v>462</v>
      </c>
      <c r="G8" s="597">
        <v>0</v>
      </c>
      <c r="H8" s="602"/>
      <c r="I8" s="575"/>
      <c r="J8" s="553"/>
      <c r="K8" s="603"/>
      <c r="L8" s="603"/>
      <c r="M8" s="604"/>
      <c r="N8" s="603"/>
      <c r="O8" s="599">
        <v>650.79101</v>
      </c>
    </row>
    <row r="9" spans="1:15" ht="12.75">
      <c r="A9" s="560" t="s">
        <v>304</v>
      </c>
      <c r="B9" s="567">
        <v>4</v>
      </c>
      <c r="C9" s="567" t="s">
        <v>397</v>
      </c>
      <c r="D9" s="560" t="s">
        <v>465</v>
      </c>
      <c r="E9" s="572">
        <v>30801397</v>
      </c>
      <c r="F9" s="568" t="s">
        <v>464</v>
      </c>
      <c r="G9" s="597">
        <v>0</v>
      </c>
      <c r="H9" s="602"/>
      <c r="I9" s="575"/>
      <c r="J9" s="553"/>
      <c r="K9" s="603"/>
      <c r="L9" s="603"/>
      <c r="M9" s="604"/>
      <c r="N9" s="603"/>
      <c r="O9" s="605"/>
    </row>
    <row r="10" spans="1:15" ht="12.75">
      <c r="A10" s="560" t="s">
        <v>310</v>
      </c>
      <c r="B10" s="567">
        <v>8</v>
      </c>
      <c r="C10" s="567" t="s">
        <v>409</v>
      </c>
      <c r="D10" s="560" t="s">
        <v>410</v>
      </c>
      <c r="E10" s="574">
        <v>17335469</v>
      </c>
      <c r="F10" s="568" t="s">
        <v>462</v>
      </c>
      <c r="G10" s="597">
        <v>976.49616</v>
      </c>
      <c r="H10" s="602"/>
      <c r="I10" s="575"/>
      <c r="J10" s="553"/>
      <c r="K10" s="600">
        <v>0</v>
      </c>
      <c r="L10" s="600">
        <v>0</v>
      </c>
      <c r="M10" s="606">
        <v>40458</v>
      </c>
      <c r="N10" s="599">
        <v>7.634600000000001</v>
      </c>
      <c r="O10" s="607"/>
    </row>
    <row r="11" spans="1:15" ht="26.25">
      <c r="A11" s="11" t="s">
        <v>302</v>
      </c>
      <c r="B11" s="553">
        <v>8</v>
      </c>
      <c r="C11" s="553" t="s">
        <v>409</v>
      </c>
      <c r="D11" s="560" t="s">
        <v>411</v>
      </c>
      <c r="E11" s="572" t="s">
        <v>412</v>
      </c>
      <c r="F11" s="568" t="s">
        <v>462</v>
      </c>
      <c r="G11" s="597">
        <v>1627.1827700000001</v>
      </c>
      <c r="H11" s="602"/>
      <c r="I11" s="608"/>
      <c r="J11" s="609"/>
      <c r="K11" s="600">
        <v>6.72276</v>
      </c>
      <c r="L11" s="600">
        <v>6.72276</v>
      </c>
      <c r="M11" s="606">
        <v>40476</v>
      </c>
      <c r="N11" s="599">
        <v>0</v>
      </c>
      <c r="O11" s="607"/>
    </row>
    <row r="12" spans="1:15" ht="12.75">
      <c r="A12" s="11" t="s">
        <v>302</v>
      </c>
      <c r="B12" s="553">
        <v>8</v>
      </c>
      <c r="C12" s="553" t="s">
        <v>409</v>
      </c>
      <c r="D12" s="560" t="s">
        <v>466</v>
      </c>
      <c r="E12" s="572" t="s">
        <v>467</v>
      </c>
      <c r="F12" s="568" t="s">
        <v>464</v>
      </c>
      <c r="G12" s="597">
        <v>0</v>
      </c>
      <c r="H12" s="602"/>
      <c r="I12" s="608"/>
      <c r="J12" s="609"/>
      <c r="K12" s="603"/>
      <c r="L12" s="603"/>
      <c r="M12" s="606"/>
      <c r="N12" s="603"/>
      <c r="O12" s="607"/>
    </row>
    <row r="13" spans="1:15" ht="12.75">
      <c r="A13" s="604" t="s">
        <v>302</v>
      </c>
      <c r="B13" s="610">
        <v>9</v>
      </c>
      <c r="C13" s="610" t="s">
        <v>409</v>
      </c>
      <c r="D13" s="611" t="s">
        <v>468</v>
      </c>
      <c r="E13" s="612" t="s">
        <v>469</v>
      </c>
      <c r="F13" s="613" t="s">
        <v>464</v>
      </c>
      <c r="G13" s="597">
        <v>0</v>
      </c>
      <c r="H13" s="602"/>
      <c r="I13" s="608"/>
      <c r="J13" s="600"/>
      <c r="K13" s="600">
        <v>1.1126500000000001</v>
      </c>
      <c r="L13" s="600">
        <v>1.1126500000000001</v>
      </c>
      <c r="M13" s="608">
        <v>40476</v>
      </c>
      <c r="N13" s="599">
        <v>0</v>
      </c>
      <c r="O13" s="614"/>
    </row>
    <row r="14" spans="1:15" ht="12.75">
      <c r="A14" s="615" t="s">
        <v>319</v>
      </c>
      <c r="B14" s="616">
        <v>8</v>
      </c>
      <c r="C14" s="616" t="s">
        <v>409</v>
      </c>
      <c r="D14" s="617" t="s">
        <v>413</v>
      </c>
      <c r="E14" s="618">
        <v>17335965</v>
      </c>
      <c r="F14" s="613" t="s">
        <v>464</v>
      </c>
      <c r="G14" s="597">
        <v>852.6629399999999</v>
      </c>
      <c r="H14" s="602" t="s">
        <v>470</v>
      </c>
      <c r="I14" s="608">
        <v>38873</v>
      </c>
      <c r="J14" s="600">
        <v>232.16613</v>
      </c>
      <c r="K14" s="600">
        <v>1107.72815</v>
      </c>
      <c r="L14" s="603"/>
      <c r="M14" s="619"/>
      <c r="N14" s="603"/>
      <c r="O14" s="603"/>
    </row>
    <row r="15" spans="1:15" ht="12.75">
      <c r="A15" s="620"/>
      <c r="B15" s="621"/>
      <c r="C15" s="621"/>
      <c r="D15" s="622"/>
      <c r="E15" s="623"/>
      <c r="F15" s="624"/>
      <c r="G15" s="625"/>
      <c r="H15" s="602" t="s">
        <v>470</v>
      </c>
      <c r="I15" s="608">
        <v>38873</v>
      </c>
      <c r="J15" s="600">
        <v>245.58939</v>
      </c>
      <c r="K15" s="626"/>
      <c r="L15" s="627"/>
      <c r="M15" s="628"/>
      <c r="N15" s="627"/>
      <c r="O15" s="627"/>
    </row>
    <row r="16" spans="1:15" ht="12.75">
      <c r="A16" s="629"/>
      <c r="B16" s="630"/>
      <c r="C16" s="630"/>
      <c r="D16" s="631"/>
      <c r="E16" s="632"/>
      <c r="F16" s="633"/>
      <c r="G16" s="634"/>
      <c r="H16" s="602" t="s">
        <v>470</v>
      </c>
      <c r="I16" s="635">
        <v>38856</v>
      </c>
      <c r="J16" s="600">
        <v>79.51357</v>
      </c>
      <c r="K16" s="622"/>
      <c r="L16" s="636"/>
      <c r="M16" s="628"/>
      <c r="N16" s="627"/>
      <c r="O16" s="627"/>
    </row>
    <row r="17" spans="1:15" ht="12.75">
      <c r="A17" s="11" t="s">
        <v>319</v>
      </c>
      <c r="B17" s="567">
        <v>8</v>
      </c>
      <c r="C17" s="567" t="s">
        <v>409</v>
      </c>
      <c r="D17" s="560" t="s">
        <v>414</v>
      </c>
      <c r="E17" s="574">
        <v>44455356</v>
      </c>
      <c r="F17" s="567" t="s">
        <v>471</v>
      </c>
      <c r="G17" s="597">
        <v>211.38529</v>
      </c>
      <c r="H17" s="602"/>
      <c r="I17" s="635"/>
      <c r="J17" s="600"/>
      <c r="K17" s="622"/>
      <c r="L17" s="636"/>
      <c r="M17" s="628"/>
      <c r="N17" s="627"/>
      <c r="O17" s="627"/>
    </row>
    <row r="18" spans="1:15" ht="12.75">
      <c r="A18" s="637" t="s">
        <v>323</v>
      </c>
      <c r="B18" s="638">
        <v>8</v>
      </c>
      <c r="C18" s="638" t="s">
        <v>409</v>
      </c>
      <c r="D18" s="639" t="s">
        <v>415</v>
      </c>
      <c r="E18" s="640" t="s">
        <v>416</v>
      </c>
      <c r="F18" s="641" t="s">
        <v>464</v>
      </c>
      <c r="G18" s="597">
        <v>627.39993</v>
      </c>
      <c r="H18" s="602"/>
      <c r="I18" s="575"/>
      <c r="J18" s="609"/>
      <c r="K18" s="642"/>
      <c r="L18" s="642"/>
      <c r="M18" s="11"/>
      <c r="N18" s="599"/>
      <c r="O18" s="599"/>
    </row>
    <row r="19" spans="1:15" ht="12.75">
      <c r="A19" s="611" t="s">
        <v>323</v>
      </c>
      <c r="B19" s="610">
        <v>8</v>
      </c>
      <c r="C19" s="610" t="s">
        <v>409</v>
      </c>
      <c r="D19" s="643" t="s">
        <v>472</v>
      </c>
      <c r="E19" s="618">
        <v>44452519</v>
      </c>
      <c r="F19" s="568" t="s">
        <v>464</v>
      </c>
      <c r="G19" s="597">
        <v>0</v>
      </c>
      <c r="H19" s="644"/>
      <c r="I19" s="645"/>
      <c r="J19" s="646"/>
      <c r="K19" s="599"/>
      <c r="L19" s="599"/>
      <c r="M19" s="11"/>
      <c r="N19" s="599"/>
      <c r="O19" s="599"/>
    </row>
    <row r="20" spans="1:15" ht="12.75">
      <c r="A20" s="560" t="s">
        <v>337</v>
      </c>
      <c r="B20" s="553">
        <v>8</v>
      </c>
      <c r="C20" s="553" t="s">
        <v>409</v>
      </c>
      <c r="D20" s="560" t="s">
        <v>473</v>
      </c>
      <c r="E20" s="572" t="s">
        <v>474</v>
      </c>
      <c r="F20" s="568" t="s">
        <v>475</v>
      </c>
      <c r="G20" s="597">
        <v>0</v>
      </c>
      <c r="H20" s="644"/>
      <c r="I20" s="645"/>
      <c r="J20" s="646"/>
      <c r="K20" s="600">
        <v>92.57517999999999</v>
      </c>
      <c r="L20" s="600">
        <v>232.65982</v>
      </c>
      <c r="M20" s="601">
        <v>39748</v>
      </c>
      <c r="N20" s="599">
        <v>219.07986</v>
      </c>
      <c r="O20" s="599"/>
    </row>
    <row r="21" spans="1:15" ht="12.75">
      <c r="A21" s="11" t="s">
        <v>328</v>
      </c>
      <c r="B21" s="553">
        <v>10</v>
      </c>
      <c r="C21" s="553" t="s">
        <v>409</v>
      </c>
      <c r="D21" s="647" t="s">
        <v>476</v>
      </c>
      <c r="E21" s="572" t="s">
        <v>477</v>
      </c>
      <c r="F21" s="568" t="s">
        <v>475</v>
      </c>
      <c r="G21" s="597">
        <v>0</v>
      </c>
      <c r="H21" s="648"/>
      <c r="I21" s="649"/>
      <c r="J21" s="634"/>
      <c r="K21" s="600">
        <v>3.46054</v>
      </c>
      <c r="L21" s="600">
        <v>2.97656</v>
      </c>
      <c r="M21" s="650">
        <v>39903</v>
      </c>
      <c r="N21" s="599">
        <v>9.535549999999999</v>
      </c>
      <c r="O21" s="599"/>
    </row>
    <row r="22" spans="1:15" ht="12.75">
      <c r="A22" s="11" t="s">
        <v>332</v>
      </c>
      <c r="B22" s="567">
        <v>1</v>
      </c>
      <c r="C22" s="567" t="s">
        <v>397</v>
      </c>
      <c r="D22" s="647" t="s">
        <v>478</v>
      </c>
      <c r="E22" s="572" t="s">
        <v>479</v>
      </c>
      <c r="F22" s="568" t="s">
        <v>464</v>
      </c>
      <c r="G22" s="597">
        <v>0</v>
      </c>
      <c r="H22" s="651"/>
      <c r="I22" s="11"/>
      <c r="J22" s="599"/>
      <c r="K22" s="600">
        <v>216.92169</v>
      </c>
      <c r="L22" s="600">
        <v>216.92169</v>
      </c>
      <c r="M22" s="652">
        <v>39538</v>
      </c>
      <c r="N22" s="599">
        <v>413.98602</v>
      </c>
      <c r="O22" s="599"/>
    </row>
    <row r="23" spans="1:15" ht="26.25">
      <c r="A23" s="11" t="s">
        <v>332</v>
      </c>
      <c r="B23" s="567">
        <v>2</v>
      </c>
      <c r="C23" s="567" t="s">
        <v>397</v>
      </c>
      <c r="D23" s="647" t="s">
        <v>405</v>
      </c>
      <c r="E23" s="572" t="s">
        <v>406</v>
      </c>
      <c r="F23" s="568" t="s">
        <v>464</v>
      </c>
      <c r="G23" s="597">
        <v>0.0058</v>
      </c>
      <c r="H23" s="651"/>
      <c r="I23" s="11"/>
      <c r="J23" s="599"/>
      <c r="K23" s="561"/>
      <c r="L23" s="561"/>
      <c r="M23" s="652"/>
      <c r="N23" s="634"/>
      <c r="O23" s="614"/>
    </row>
    <row r="24" spans="1:15" ht="12.75">
      <c r="A24" s="11" t="s">
        <v>332</v>
      </c>
      <c r="B24" s="567">
        <v>7</v>
      </c>
      <c r="C24" s="567" t="s">
        <v>397</v>
      </c>
      <c r="D24" s="647" t="s">
        <v>480</v>
      </c>
      <c r="E24" s="572" t="s">
        <v>481</v>
      </c>
      <c r="F24" s="568" t="s">
        <v>464</v>
      </c>
      <c r="G24" s="597">
        <v>0</v>
      </c>
      <c r="H24" s="651"/>
      <c r="I24" s="11"/>
      <c r="J24" s="599"/>
      <c r="K24" s="600">
        <v>0.07958</v>
      </c>
      <c r="L24" s="600">
        <v>0.07958</v>
      </c>
      <c r="M24" s="652">
        <v>40226</v>
      </c>
      <c r="N24" s="634"/>
      <c r="O24" s="599"/>
    </row>
    <row r="25" spans="1:15" ht="12.75">
      <c r="A25" s="11" t="s">
        <v>329</v>
      </c>
      <c r="B25" s="553">
        <v>10</v>
      </c>
      <c r="C25" s="553" t="s">
        <v>409</v>
      </c>
      <c r="D25" s="647" t="s">
        <v>482</v>
      </c>
      <c r="E25" s="572" t="s">
        <v>483</v>
      </c>
      <c r="F25" s="568" t="s">
        <v>475</v>
      </c>
      <c r="G25" s="597">
        <v>0</v>
      </c>
      <c r="H25" s="602"/>
      <c r="I25" s="553"/>
      <c r="J25" s="653"/>
      <c r="K25" s="600">
        <v>50.36262696673969</v>
      </c>
      <c r="L25" s="600">
        <v>109.20100577574189</v>
      </c>
      <c r="M25" s="601">
        <v>39643</v>
      </c>
      <c r="N25" s="599">
        <v>0.02907787293367855</v>
      </c>
      <c r="O25" s="599"/>
    </row>
    <row r="26" spans="1:15" ht="12.75">
      <c r="A26" s="577" t="s">
        <v>329</v>
      </c>
      <c r="B26" s="553">
        <v>10</v>
      </c>
      <c r="C26" s="553" t="s">
        <v>409</v>
      </c>
      <c r="D26" s="647" t="s">
        <v>484</v>
      </c>
      <c r="E26" s="572" t="s">
        <v>485</v>
      </c>
      <c r="F26" s="568" t="s">
        <v>475</v>
      </c>
      <c r="G26" s="597">
        <v>0</v>
      </c>
      <c r="H26" s="602"/>
      <c r="I26" s="553"/>
      <c r="J26" s="653"/>
      <c r="K26" s="600">
        <v>0.07251211578038902</v>
      </c>
      <c r="L26" s="600">
        <v>0</v>
      </c>
      <c r="M26" s="601">
        <v>39722</v>
      </c>
      <c r="N26" s="599">
        <v>0.1360286795459072</v>
      </c>
      <c r="O26" s="599"/>
    </row>
    <row r="27" spans="1:15" ht="12.75">
      <c r="A27" s="577" t="s">
        <v>329</v>
      </c>
      <c r="B27" s="553">
        <v>4</v>
      </c>
      <c r="C27" s="553" t="s">
        <v>397</v>
      </c>
      <c r="D27" s="647" t="s">
        <v>486</v>
      </c>
      <c r="E27" s="572" t="s">
        <v>487</v>
      </c>
      <c r="F27" s="568" t="s">
        <v>464</v>
      </c>
      <c r="G27" s="597">
        <v>0</v>
      </c>
      <c r="H27" s="602"/>
      <c r="I27" s="553"/>
      <c r="J27" s="653"/>
      <c r="K27" s="600">
        <v>49.08824603332669</v>
      </c>
      <c r="L27" s="600">
        <v>49.08824603332669</v>
      </c>
      <c r="M27" s="601">
        <v>39722</v>
      </c>
      <c r="N27" s="599">
        <v>0.22239925645621722</v>
      </c>
      <c r="O27" s="599"/>
    </row>
    <row r="28" spans="1:15" ht="26.25">
      <c r="A28" s="11" t="s">
        <v>317</v>
      </c>
      <c r="B28" s="567">
        <v>8</v>
      </c>
      <c r="C28" s="567" t="s">
        <v>409</v>
      </c>
      <c r="D28" s="596" t="s">
        <v>417</v>
      </c>
      <c r="E28" s="574">
        <v>17336163</v>
      </c>
      <c r="F28" s="568" t="s">
        <v>462</v>
      </c>
      <c r="G28" s="597">
        <v>1854.61581</v>
      </c>
      <c r="H28" s="654"/>
      <c r="I28" s="601"/>
      <c r="J28" s="599"/>
      <c r="K28" s="600">
        <v>0</v>
      </c>
      <c r="L28" s="600">
        <v>151.06071</v>
      </c>
      <c r="M28" s="601">
        <v>39673</v>
      </c>
      <c r="N28" s="599">
        <v>0</v>
      </c>
      <c r="O28" s="599"/>
    </row>
    <row r="29" spans="1:15" ht="12.75">
      <c r="A29" s="655" t="s">
        <v>336</v>
      </c>
      <c r="B29" s="630">
        <v>1</v>
      </c>
      <c r="C29" s="630" t="s">
        <v>397</v>
      </c>
      <c r="D29" s="656" t="s">
        <v>488</v>
      </c>
      <c r="E29" s="572" t="s">
        <v>489</v>
      </c>
      <c r="F29" s="641" t="s">
        <v>464</v>
      </c>
      <c r="G29" s="597">
        <v>0</v>
      </c>
      <c r="H29" s="657"/>
      <c r="I29" s="650"/>
      <c r="J29" s="658"/>
      <c r="K29" s="658"/>
      <c r="L29" s="658"/>
      <c r="M29" s="601"/>
      <c r="N29" s="599"/>
      <c r="O29" s="659"/>
    </row>
    <row r="30" spans="1:15" ht="26.25">
      <c r="A30" s="660" t="s">
        <v>334</v>
      </c>
      <c r="B30" s="630">
        <v>12</v>
      </c>
      <c r="C30" s="661" t="s">
        <v>409</v>
      </c>
      <c r="D30" s="662" t="s">
        <v>490</v>
      </c>
      <c r="E30" s="11">
        <v>35581778</v>
      </c>
      <c r="F30" s="663" t="s">
        <v>464</v>
      </c>
      <c r="G30" s="597">
        <v>0</v>
      </c>
      <c r="H30" s="644"/>
      <c r="I30" s="645"/>
      <c r="J30" s="646"/>
      <c r="K30" s="600">
        <v>3.00734</v>
      </c>
      <c r="L30" s="600">
        <v>2.8410900000000003</v>
      </c>
      <c r="M30" s="601">
        <v>40094</v>
      </c>
      <c r="N30" s="599">
        <v>322.86203</v>
      </c>
      <c r="O30" s="599"/>
    </row>
    <row r="31" spans="1:15" ht="12.75">
      <c r="A31" s="660" t="s">
        <v>334</v>
      </c>
      <c r="B31" s="630">
        <v>11</v>
      </c>
      <c r="C31" s="661" t="s">
        <v>409</v>
      </c>
      <c r="D31" s="662" t="s">
        <v>491</v>
      </c>
      <c r="E31" s="11">
        <v>35581000</v>
      </c>
      <c r="F31" s="663" t="s">
        <v>464</v>
      </c>
      <c r="G31" s="597">
        <v>0</v>
      </c>
      <c r="H31" s="644"/>
      <c r="I31" s="645"/>
      <c r="J31" s="646"/>
      <c r="K31" s="600">
        <v>0.03168</v>
      </c>
      <c r="L31" s="600">
        <v>0.03168</v>
      </c>
      <c r="M31" s="601">
        <v>40078</v>
      </c>
      <c r="N31" s="599">
        <v>31.68025</v>
      </c>
      <c r="O31" s="599"/>
    </row>
    <row r="32" spans="1:15" ht="12.75">
      <c r="A32" s="660" t="s">
        <v>320</v>
      </c>
      <c r="B32" s="630">
        <v>1</v>
      </c>
      <c r="C32" s="661" t="s">
        <v>397</v>
      </c>
      <c r="D32" s="662" t="s">
        <v>492</v>
      </c>
      <c r="E32" s="664">
        <v>17336007</v>
      </c>
      <c r="F32" s="663" t="s">
        <v>464</v>
      </c>
      <c r="G32" s="597">
        <v>0</v>
      </c>
      <c r="H32" s="644"/>
      <c r="I32" s="645"/>
      <c r="J32" s="646"/>
      <c r="K32" s="600">
        <v>0.03166</v>
      </c>
      <c r="L32" s="600">
        <v>0.03166</v>
      </c>
      <c r="M32" s="652">
        <v>39846</v>
      </c>
      <c r="N32" s="599"/>
      <c r="O32" s="599"/>
    </row>
    <row r="33" spans="1:15" ht="26.25">
      <c r="A33" s="560" t="s">
        <v>320</v>
      </c>
      <c r="B33" s="567">
        <v>10</v>
      </c>
      <c r="C33" s="567" t="s">
        <v>409</v>
      </c>
      <c r="D33" s="596" t="s">
        <v>426</v>
      </c>
      <c r="E33" s="576">
        <v>17336015</v>
      </c>
      <c r="F33" s="567" t="s">
        <v>462</v>
      </c>
      <c r="G33" s="597">
        <v>211.85062</v>
      </c>
      <c r="H33" s="665"/>
      <c r="I33" s="645"/>
      <c r="J33" s="646"/>
      <c r="K33" s="600">
        <v>0.02255</v>
      </c>
      <c r="L33" s="600">
        <v>0.02255</v>
      </c>
      <c r="M33" s="608">
        <v>39780</v>
      </c>
      <c r="N33" s="614"/>
      <c r="O33" s="614"/>
    </row>
    <row r="34" spans="1:15" ht="12.75">
      <c r="A34" s="560" t="s">
        <v>325</v>
      </c>
      <c r="B34" s="567">
        <v>10</v>
      </c>
      <c r="C34" s="567" t="s">
        <v>409</v>
      </c>
      <c r="D34" s="596" t="s">
        <v>493</v>
      </c>
      <c r="E34" s="576">
        <v>35606347</v>
      </c>
      <c r="F34" s="567" t="s">
        <v>464</v>
      </c>
      <c r="G34" s="597">
        <v>0</v>
      </c>
      <c r="H34" s="644"/>
      <c r="I34" s="645"/>
      <c r="J34" s="646"/>
      <c r="K34" s="600">
        <v>0.08187</v>
      </c>
      <c r="L34" s="600">
        <v>0.08187</v>
      </c>
      <c r="M34" s="601">
        <v>39777</v>
      </c>
      <c r="N34" s="599">
        <v>0</v>
      </c>
      <c r="O34" s="614"/>
    </row>
    <row r="35" spans="1:15" ht="12.75" customHeight="1">
      <c r="A35" s="560" t="s">
        <v>325</v>
      </c>
      <c r="B35" s="567">
        <v>9</v>
      </c>
      <c r="C35" s="567" t="s">
        <v>409</v>
      </c>
      <c r="D35" s="596" t="s">
        <v>494</v>
      </c>
      <c r="E35" s="576">
        <v>17336139</v>
      </c>
      <c r="F35" s="567" t="s">
        <v>464</v>
      </c>
      <c r="G35" s="597">
        <v>0</v>
      </c>
      <c r="H35" s="644"/>
      <c r="I35" s="645"/>
      <c r="J35" s="646"/>
      <c r="K35" s="600">
        <v>0.22374000000000002</v>
      </c>
      <c r="L35" s="600">
        <v>0.22340000000000002</v>
      </c>
      <c r="M35" s="601">
        <v>39777</v>
      </c>
      <c r="N35" s="599">
        <v>0</v>
      </c>
      <c r="O35" s="614"/>
    </row>
    <row r="36" spans="1:15" ht="12.75">
      <c r="A36" s="611" t="s">
        <v>315</v>
      </c>
      <c r="B36" s="616">
        <v>11</v>
      </c>
      <c r="C36" s="616" t="s">
        <v>409</v>
      </c>
      <c r="D36" s="643" t="s">
        <v>427</v>
      </c>
      <c r="E36" s="666">
        <v>36167991</v>
      </c>
      <c r="F36" s="667" t="s">
        <v>471</v>
      </c>
      <c r="G36" s="597">
        <v>86.16513</v>
      </c>
      <c r="H36" s="668"/>
      <c r="I36" s="669"/>
      <c r="J36" s="670"/>
      <c r="K36" s="600">
        <v>0.00404</v>
      </c>
      <c r="L36" s="600">
        <v>0.00404</v>
      </c>
      <c r="M36" s="606">
        <v>40150</v>
      </c>
      <c r="N36" s="599">
        <v>0</v>
      </c>
      <c r="O36" s="607"/>
    </row>
    <row r="37" spans="1:15" ht="12.75" customHeight="1">
      <c r="A37" s="604" t="s">
        <v>306</v>
      </c>
      <c r="B37" s="671">
        <v>8</v>
      </c>
      <c r="C37" s="616" t="s">
        <v>409</v>
      </c>
      <c r="D37" s="617" t="s">
        <v>418</v>
      </c>
      <c r="E37" s="612" t="s">
        <v>419</v>
      </c>
      <c r="F37" s="613" t="s">
        <v>462</v>
      </c>
      <c r="G37" s="597">
        <v>6150.69375</v>
      </c>
      <c r="H37" s="672"/>
      <c r="I37" s="673"/>
      <c r="J37" s="674"/>
      <c r="K37" s="675"/>
      <c r="L37" s="603"/>
      <c r="M37" s="676"/>
      <c r="N37" s="603"/>
      <c r="O37" s="599"/>
    </row>
    <row r="38" spans="1:15" ht="12.75" customHeight="1">
      <c r="A38" s="655"/>
      <c r="B38" s="633"/>
      <c r="C38" s="630"/>
      <c r="D38" s="677"/>
      <c r="E38" s="678"/>
      <c r="F38" s="641"/>
      <c r="G38" s="597"/>
      <c r="H38" s="644"/>
      <c r="I38" s="645"/>
      <c r="J38" s="679"/>
      <c r="K38" s="680"/>
      <c r="L38" s="658"/>
      <c r="M38" s="631"/>
      <c r="N38" s="658"/>
      <c r="O38" s="599"/>
    </row>
    <row r="39" spans="1:15" ht="26.25">
      <c r="A39" s="655" t="s">
        <v>306</v>
      </c>
      <c r="B39" s="630">
        <v>11</v>
      </c>
      <c r="C39" s="630" t="s">
        <v>409</v>
      </c>
      <c r="D39" s="656" t="s">
        <v>428</v>
      </c>
      <c r="E39" s="678" t="s">
        <v>429</v>
      </c>
      <c r="F39" s="641" t="s">
        <v>462</v>
      </c>
      <c r="G39" s="597">
        <v>1756.49349</v>
      </c>
      <c r="H39" s="644" t="s">
        <v>495</v>
      </c>
      <c r="I39" s="681">
        <v>40709</v>
      </c>
      <c r="J39" s="600">
        <v>953.44416</v>
      </c>
      <c r="K39" s="600">
        <v>47.86085</v>
      </c>
      <c r="L39" s="600">
        <v>47.86085</v>
      </c>
      <c r="M39" s="682">
        <v>40886</v>
      </c>
      <c r="N39" s="599">
        <v>0</v>
      </c>
      <c r="O39" s="599"/>
    </row>
    <row r="40" spans="1:15" ht="12.75" customHeight="1">
      <c r="A40" s="11" t="s">
        <v>312</v>
      </c>
      <c r="B40" s="567">
        <v>1</v>
      </c>
      <c r="C40" s="567" t="s">
        <v>397</v>
      </c>
      <c r="D40" s="596" t="s">
        <v>496</v>
      </c>
      <c r="E40" s="572" t="s">
        <v>497</v>
      </c>
      <c r="F40" s="568" t="s">
        <v>464</v>
      </c>
      <c r="G40" s="597">
        <v>0</v>
      </c>
      <c r="H40" s="602"/>
      <c r="I40" s="575"/>
      <c r="J40" s="600"/>
      <c r="K40" s="599"/>
      <c r="L40" s="599"/>
      <c r="M40" s="11"/>
      <c r="N40" s="599"/>
      <c r="O40" s="599"/>
    </row>
    <row r="41" spans="1:15" ht="12.75" customHeight="1">
      <c r="A41" s="560" t="s">
        <v>303</v>
      </c>
      <c r="B41" s="553">
        <v>8</v>
      </c>
      <c r="C41" s="553" t="s">
        <v>409</v>
      </c>
      <c r="D41" s="647" t="s">
        <v>420</v>
      </c>
      <c r="E41" s="574">
        <v>17335795</v>
      </c>
      <c r="F41" s="568" t="s">
        <v>462</v>
      </c>
      <c r="G41" s="597">
        <v>4817.270769999999</v>
      </c>
      <c r="H41" s="654"/>
      <c r="I41" s="576"/>
      <c r="J41" s="561"/>
      <c r="K41" s="600">
        <v>2049.78755</v>
      </c>
      <c r="L41" s="599"/>
      <c r="M41" s="601">
        <v>40870</v>
      </c>
      <c r="N41" s="599"/>
      <c r="O41" s="599"/>
    </row>
    <row r="42" spans="1:15" ht="12.75">
      <c r="A42" s="560" t="s">
        <v>326</v>
      </c>
      <c r="B42" s="567">
        <v>8</v>
      </c>
      <c r="C42" s="567" t="s">
        <v>409</v>
      </c>
      <c r="D42" s="647" t="s">
        <v>498</v>
      </c>
      <c r="E42" s="572" t="s">
        <v>499</v>
      </c>
      <c r="F42" s="568" t="s">
        <v>475</v>
      </c>
      <c r="G42" s="597">
        <v>0</v>
      </c>
      <c r="H42" s="654"/>
      <c r="I42" s="576"/>
      <c r="J42" s="561"/>
      <c r="K42" s="600">
        <v>25.41001</v>
      </c>
      <c r="L42" s="600">
        <v>104.27731</v>
      </c>
      <c r="M42" s="601">
        <v>39534</v>
      </c>
      <c r="N42" s="599">
        <v>201.66673</v>
      </c>
      <c r="O42" s="599"/>
    </row>
    <row r="43" spans="1:15" ht="12.75">
      <c r="A43" s="611" t="s">
        <v>326</v>
      </c>
      <c r="B43" s="567">
        <v>10</v>
      </c>
      <c r="C43" s="567" t="s">
        <v>409</v>
      </c>
      <c r="D43" s="596" t="s">
        <v>500</v>
      </c>
      <c r="E43" s="572" t="s">
        <v>501</v>
      </c>
      <c r="F43" s="567" t="s">
        <v>475</v>
      </c>
      <c r="G43" s="597">
        <v>0</v>
      </c>
      <c r="H43" s="651"/>
      <c r="I43" s="622"/>
      <c r="J43" s="683"/>
      <c r="K43" s="603"/>
      <c r="L43" s="600">
        <v>0.28141000000000005</v>
      </c>
      <c r="M43" s="606">
        <v>40109</v>
      </c>
      <c r="N43" s="603"/>
      <c r="O43" s="599"/>
    </row>
    <row r="44" spans="1:15" ht="12.75">
      <c r="A44" s="560" t="s">
        <v>314</v>
      </c>
      <c r="B44" s="553">
        <v>8</v>
      </c>
      <c r="C44" s="553" t="s">
        <v>409</v>
      </c>
      <c r="D44" s="596" t="s">
        <v>502</v>
      </c>
      <c r="E44" s="574">
        <v>36597341</v>
      </c>
      <c r="F44" s="568" t="s">
        <v>464</v>
      </c>
      <c r="G44" s="597">
        <v>0</v>
      </c>
      <c r="H44" s="651"/>
      <c r="I44" s="576"/>
      <c r="J44" s="561"/>
      <c r="K44" s="600">
        <v>11.40123</v>
      </c>
      <c r="L44" s="600">
        <v>11.40123</v>
      </c>
      <c r="M44" s="601">
        <v>39562</v>
      </c>
      <c r="N44" s="599">
        <v>0</v>
      </c>
      <c r="O44" s="599"/>
    </row>
    <row r="45" spans="1:15" ht="39">
      <c r="A45" s="11" t="s">
        <v>314</v>
      </c>
      <c r="B45" s="567">
        <v>12</v>
      </c>
      <c r="C45" s="567" t="s">
        <v>409</v>
      </c>
      <c r="D45" s="596" t="s">
        <v>431</v>
      </c>
      <c r="E45" s="576">
        <v>45736324</v>
      </c>
      <c r="F45" s="567" t="s">
        <v>462</v>
      </c>
      <c r="G45" s="597">
        <v>671.07432</v>
      </c>
      <c r="H45" s="651"/>
      <c r="I45" s="11"/>
      <c r="J45" s="599"/>
      <c r="K45" s="600">
        <v>0.01304</v>
      </c>
      <c r="L45" s="600">
        <v>0.01304</v>
      </c>
      <c r="M45" s="601">
        <v>39562</v>
      </c>
      <c r="N45" s="599">
        <v>0</v>
      </c>
      <c r="O45" s="599"/>
    </row>
    <row r="46" spans="1:15" ht="12.75">
      <c r="A46" s="11" t="s">
        <v>314</v>
      </c>
      <c r="B46" s="567">
        <v>5</v>
      </c>
      <c r="C46" s="567" t="s">
        <v>397</v>
      </c>
      <c r="D46" s="596" t="s">
        <v>503</v>
      </c>
      <c r="E46" s="576">
        <v>17335949</v>
      </c>
      <c r="F46" s="567" t="s">
        <v>464</v>
      </c>
      <c r="G46" s="597">
        <v>0</v>
      </c>
      <c r="H46" s="651"/>
      <c r="I46" s="11"/>
      <c r="J46" s="599"/>
      <c r="K46" s="600">
        <v>69.74311</v>
      </c>
      <c r="L46" s="600">
        <v>69.74311</v>
      </c>
      <c r="M46" s="601">
        <v>39552</v>
      </c>
      <c r="N46" s="599">
        <v>174.61481</v>
      </c>
      <c r="O46" s="599"/>
    </row>
    <row r="47" spans="1:15" ht="12.75">
      <c r="A47" s="11" t="s">
        <v>314</v>
      </c>
      <c r="B47" s="567">
        <v>9</v>
      </c>
      <c r="C47" s="567" t="s">
        <v>409</v>
      </c>
      <c r="D47" s="596" t="s">
        <v>504</v>
      </c>
      <c r="E47" s="572" t="s">
        <v>505</v>
      </c>
      <c r="F47" s="568" t="s">
        <v>475</v>
      </c>
      <c r="G47" s="597">
        <v>0</v>
      </c>
      <c r="H47" s="651"/>
      <c r="I47" s="11"/>
      <c r="J47" s="599"/>
      <c r="K47" s="600">
        <v>3.90294</v>
      </c>
      <c r="L47" s="600">
        <v>3.90294</v>
      </c>
      <c r="M47" s="601">
        <v>39583</v>
      </c>
      <c r="N47" s="599">
        <v>0.0461</v>
      </c>
      <c r="O47" s="599"/>
    </row>
    <row r="48" spans="1:15" ht="12.75">
      <c r="A48" s="11" t="s">
        <v>314</v>
      </c>
      <c r="B48" s="567">
        <v>11</v>
      </c>
      <c r="C48" s="567" t="s">
        <v>409</v>
      </c>
      <c r="D48" s="596" t="s">
        <v>506</v>
      </c>
      <c r="E48" s="572" t="s">
        <v>507</v>
      </c>
      <c r="F48" s="568" t="s">
        <v>464</v>
      </c>
      <c r="G48" s="597">
        <v>0</v>
      </c>
      <c r="H48" s="651"/>
      <c r="I48" s="11"/>
      <c r="J48" s="599"/>
      <c r="K48" s="603"/>
      <c r="L48" s="600">
        <v>5.63206</v>
      </c>
      <c r="M48" s="606">
        <v>39510</v>
      </c>
      <c r="N48" s="599">
        <v>0.11284999999999999</v>
      </c>
      <c r="O48" s="603"/>
    </row>
    <row r="49" spans="1:15" ht="12.75">
      <c r="A49" s="560" t="s">
        <v>313</v>
      </c>
      <c r="B49" s="553">
        <v>8</v>
      </c>
      <c r="C49" s="553" t="s">
        <v>409</v>
      </c>
      <c r="D49" s="560" t="s">
        <v>423</v>
      </c>
      <c r="E49" s="572" t="s">
        <v>424</v>
      </c>
      <c r="F49" s="568" t="s">
        <v>464</v>
      </c>
      <c r="G49" s="597">
        <v>351.6405</v>
      </c>
      <c r="H49" s="602"/>
      <c r="I49" s="684"/>
      <c r="J49" s="561"/>
      <c r="K49" s="599"/>
      <c r="L49" s="599"/>
      <c r="M49" s="685"/>
      <c r="N49" s="599"/>
      <c r="O49" s="599"/>
    </row>
    <row r="50" spans="1:15" ht="12.75">
      <c r="A50" s="560" t="s">
        <v>313</v>
      </c>
      <c r="B50" s="567">
        <v>8</v>
      </c>
      <c r="C50" s="553" t="s">
        <v>409</v>
      </c>
      <c r="D50" s="560" t="s">
        <v>421</v>
      </c>
      <c r="E50" s="572" t="s">
        <v>422</v>
      </c>
      <c r="F50" s="568" t="s">
        <v>462</v>
      </c>
      <c r="G50" s="597">
        <v>2591.25051</v>
      </c>
      <c r="H50" s="602"/>
      <c r="I50" s="684"/>
      <c r="J50" s="561"/>
      <c r="K50" s="599"/>
      <c r="L50" s="599"/>
      <c r="M50" s="11"/>
      <c r="N50" s="599"/>
      <c r="O50" s="599"/>
    </row>
    <row r="51" spans="1:15" ht="12.75">
      <c r="A51" s="655" t="s">
        <v>324</v>
      </c>
      <c r="B51" s="630">
        <v>8</v>
      </c>
      <c r="C51" s="630" t="s">
        <v>409</v>
      </c>
      <c r="D51" s="656" t="s">
        <v>508</v>
      </c>
      <c r="E51" s="632" t="s">
        <v>509</v>
      </c>
      <c r="F51" s="630" t="s">
        <v>475</v>
      </c>
      <c r="G51" s="597">
        <v>0</v>
      </c>
      <c r="H51" s="644"/>
      <c r="I51" s="686"/>
      <c r="J51" s="687"/>
      <c r="K51" s="600">
        <v>166.82998</v>
      </c>
      <c r="L51" s="600">
        <v>167.67281</v>
      </c>
      <c r="M51" s="650">
        <v>39700</v>
      </c>
      <c r="N51" s="599">
        <v>325.5945</v>
      </c>
      <c r="O51" s="658"/>
    </row>
    <row r="52" spans="1:15" ht="12.75">
      <c r="A52" s="655" t="s">
        <v>307</v>
      </c>
      <c r="B52" s="630">
        <v>12</v>
      </c>
      <c r="C52" s="630" t="s">
        <v>409</v>
      </c>
      <c r="D52" s="656" t="s">
        <v>510</v>
      </c>
      <c r="E52" s="11">
        <v>37886851</v>
      </c>
      <c r="F52" s="630" t="s">
        <v>464</v>
      </c>
      <c r="G52" s="597">
        <v>0</v>
      </c>
      <c r="H52" s="602"/>
      <c r="I52" s="684"/>
      <c r="J52" s="653"/>
      <c r="K52" s="600">
        <v>0.74702</v>
      </c>
      <c r="L52" s="600">
        <v>0.74702</v>
      </c>
      <c r="M52" s="601">
        <v>40168</v>
      </c>
      <c r="N52" s="599">
        <v>0</v>
      </c>
      <c r="O52" s="658"/>
    </row>
    <row r="53" spans="1:15" ht="12.75">
      <c r="A53" s="560" t="s">
        <v>318</v>
      </c>
      <c r="B53" s="553">
        <v>8</v>
      </c>
      <c r="C53" s="553" t="s">
        <v>409</v>
      </c>
      <c r="D53" s="596" t="s">
        <v>511</v>
      </c>
      <c r="E53" s="576">
        <v>17335396</v>
      </c>
      <c r="F53" s="567" t="s">
        <v>475</v>
      </c>
      <c r="G53" s="597">
        <v>0</v>
      </c>
      <c r="H53" s="651"/>
      <c r="I53" s="576"/>
      <c r="J53" s="561"/>
      <c r="K53" s="599"/>
      <c r="L53" s="600">
        <v>380.71489</v>
      </c>
      <c r="M53" s="601">
        <v>39563</v>
      </c>
      <c r="N53" s="599">
        <v>773.2869599999999</v>
      </c>
      <c r="O53" s="599"/>
    </row>
    <row r="54" spans="1:15" ht="16.5" customHeight="1">
      <c r="A54" s="11" t="s">
        <v>318</v>
      </c>
      <c r="B54" s="567">
        <v>8</v>
      </c>
      <c r="C54" s="567" t="s">
        <v>409</v>
      </c>
      <c r="D54" s="688" t="s">
        <v>425</v>
      </c>
      <c r="E54" s="11">
        <v>36597376</v>
      </c>
      <c r="F54" s="567" t="s">
        <v>464</v>
      </c>
      <c r="G54" s="597">
        <v>0</v>
      </c>
      <c r="H54" s="651"/>
      <c r="I54" s="576"/>
      <c r="J54" s="561"/>
      <c r="K54" s="600">
        <v>0.14152</v>
      </c>
      <c r="L54" s="600">
        <v>0.14152</v>
      </c>
      <c r="M54" s="601">
        <v>40190</v>
      </c>
      <c r="N54" s="599">
        <v>0.64344</v>
      </c>
      <c r="O54" s="599"/>
    </row>
    <row r="55" spans="1:15" ht="12.75">
      <c r="A55" s="11" t="s">
        <v>327</v>
      </c>
      <c r="B55" s="567">
        <v>1</v>
      </c>
      <c r="C55" s="567" t="s">
        <v>397</v>
      </c>
      <c r="D55" s="688" t="s">
        <v>512</v>
      </c>
      <c r="E55" s="572" t="s">
        <v>513</v>
      </c>
      <c r="F55" s="567" t="s">
        <v>464</v>
      </c>
      <c r="G55" s="597">
        <v>0</v>
      </c>
      <c r="H55" s="651"/>
      <c r="I55" s="576"/>
      <c r="J55" s="561"/>
      <c r="K55" s="599"/>
      <c r="L55" s="599"/>
      <c r="M55" s="601"/>
      <c r="N55" s="599"/>
      <c r="O55" s="599"/>
    </row>
    <row r="56" spans="1:15" ht="12.75">
      <c r="A56" s="11" t="s">
        <v>309</v>
      </c>
      <c r="B56" s="567">
        <v>1</v>
      </c>
      <c r="C56" s="567" t="s">
        <v>397</v>
      </c>
      <c r="D56" s="596" t="s">
        <v>403</v>
      </c>
      <c r="E56" s="572" t="s">
        <v>404</v>
      </c>
      <c r="F56" s="568" t="s">
        <v>462</v>
      </c>
      <c r="G56" s="597">
        <v>1095.5051299999998</v>
      </c>
      <c r="H56" s="654"/>
      <c r="I56" s="576"/>
      <c r="J56" s="561"/>
      <c r="K56" s="599"/>
      <c r="L56" s="599"/>
      <c r="M56" s="11"/>
      <c r="N56" s="599"/>
      <c r="O56" s="599">
        <v>1849.2421299999999</v>
      </c>
    </row>
    <row r="57" spans="1:15" ht="12.75">
      <c r="A57" s="11" t="s">
        <v>309</v>
      </c>
      <c r="B57" s="567">
        <v>11</v>
      </c>
      <c r="C57" s="567" t="s">
        <v>409</v>
      </c>
      <c r="D57" s="596" t="s">
        <v>514</v>
      </c>
      <c r="E57" s="576">
        <v>36084221</v>
      </c>
      <c r="F57" s="568" t="s">
        <v>464</v>
      </c>
      <c r="G57" s="597">
        <v>0</v>
      </c>
      <c r="H57" s="654"/>
      <c r="I57" s="576"/>
      <c r="J57" s="561"/>
      <c r="K57" s="600">
        <v>33.75279</v>
      </c>
      <c r="L57" s="600">
        <v>33.75279</v>
      </c>
      <c r="M57" s="601">
        <v>40017</v>
      </c>
      <c r="N57" s="599"/>
      <c r="O57" s="599"/>
    </row>
    <row r="58" spans="1:15" ht="12.75">
      <c r="A58" s="11" t="s">
        <v>321</v>
      </c>
      <c r="B58" s="567">
        <v>11</v>
      </c>
      <c r="C58" s="567" t="s">
        <v>409</v>
      </c>
      <c r="D58" s="596" t="s">
        <v>430</v>
      </c>
      <c r="E58" s="11">
        <v>31908977</v>
      </c>
      <c r="F58" s="567" t="s">
        <v>464</v>
      </c>
      <c r="G58" s="597">
        <v>77.01282</v>
      </c>
      <c r="H58" s="654"/>
      <c r="I58" s="567"/>
      <c r="J58" s="689"/>
      <c r="K58" s="600">
        <v>1.61275</v>
      </c>
      <c r="L58" s="600">
        <v>1.61275</v>
      </c>
      <c r="M58" s="601">
        <v>39898</v>
      </c>
      <c r="N58" s="599">
        <v>55.07718</v>
      </c>
      <c r="O58" s="599"/>
    </row>
    <row r="59" spans="1:15" ht="12.75">
      <c r="A59" s="577" t="s">
        <v>311</v>
      </c>
      <c r="B59" s="553">
        <v>12</v>
      </c>
      <c r="C59" s="553" t="s">
        <v>409</v>
      </c>
      <c r="D59" s="596" t="s">
        <v>515</v>
      </c>
      <c r="E59" s="574">
        <v>37887068</v>
      </c>
      <c r="F59" s="568" t="s">
        <v>464</v>
      </c>
      <c r="G59" s="597">
        <v>0</v>
      </c>
      <c r="H59" s="690"/>
      <c r="I59" s="609"/>
      <c r="J59" s="600"/>
      <c r="K59" s="600">
        <v>0.58627</v>
      </c>
      <c r="L59" s="600">
        <v>0.58627</v>
      </c>
      <c r="M59" s="601">
        <v>39994</v>
      </c>
      <c r="N59" s="599">
        <v>0</v>
      </c>
      <c r="O59" s="599"/>
    </row>
    <row r="60" spans="1:15" ht="12.75">
      <c r="A60" s="611" t="s">
        <v>322</v>
      </c>
      <c r="B60" s="610">
        <v>11</v>
      </c>
      <c r="C60" s="610" t="s">
        <v>409</v>
      </c>
      <c r="D60" s="643" t="s">
        <v>516</v>
      </c>
      <c r="E60" s="576">
        <v>37954954</v>
      </c>
      <c r="F60" s="567" t="s">
        <v>475</v>
      </c>
      <c r="G60" s="597">
        <v>0</v>
      </c>
      <c r="H60" s="672"/>
      <c r="I60" s="610"/>
      <c r="J60" s="691"/>
      <c r="K60" s="600">
        <v>2.02607</v>
      </c>
      <c r="L60" s="600">
        <v>5.8788</v>
      </c>
      <c r="M60" s="606">
        <v>39744</v>
      </c>
      <c r="N60" s="599">
        <v>0</v>
      </c>
      <c r="O60" s="599"/>
    </row>
    <row r="61" spans="1:15" ht="12.75">
      <c r="A61" s="611" t="s">
        <v>322</v>
      </c>
      <c r="B61" s="610">
        <v>7</v>
      </c>
      <c r="C61" s="610" t="s">
        <v>397</v>
      </c>
      <c r="D61" s="643" t="s">
        <v>408</v>
      </c>
      <c r="E61" s="576">
        <v>17336082</v>
      </c>
      <c r="F61" s="567" t="s">
        <v>464</v>
      </c>
      <c r="G61" s="597">
        <v>3.12391</v>
      </c>
      <c r="H61" s="672"/>
      <c r="I61" s="610"/>
      <c r="J61" s="691"/>
      <c r="K61" s="600">
        <v>0.11531</v>
      </c>
      <c r="L61" s="600">
        <v>0.11531</v>
      </c>
      <c r="M61" s="606">
        <v>40288</v>
      </c>
      <c r="N61" s="599">
        <v>3.5173</v>
      </c>
      <c r="O61" s="599"/>
    </row>
    <row r="62" spans="1:15" ht="21" customHeight="1">
      <c r="A62" s="611" t="s">
        <v>322</v>
      </c>
      <c r="B62" s="553">
        <v>4</v>
      </c>
      <c r="C62" s="553" t="s">
        <v>397</v>
      </c>
      <c r="D62" s="560" t="s">
        <v>517</v>
      </c>
      <c r="E62" s="572" t="s">
        <v>518</v>
      </c>
      <c r="F62" s="567" t="s">
        <v>464</v>
      </c>
      <c r="G62" s="597">
        <v>0</v>
      </c>
      <c r="H62" s="602"/>
      <c r="I62" s="553"/>
      <c r="J62" s="653"/>
      <c r="K62" s="599"/>
      <c r="L62" s="599"/>
      <c r="M62" s="601"/>
      <c r="N62" s="599"/>
      <c r="O62" s="599"/>
    </row>
    <row r="63" spans="1:15" ht="13.5">
      <c r="A63" s="692" t="s">
        <v>4</v>
      </c>
      <c r="B63" s="693"/>
      <c r="C63" s="693"/>
      <c r="D63" s="693"/>
      <c r="E63" s="694"/>
      <c r="F63" s="695"/>
      <c r="G63" s="696">
        <f>SUM(G4:G62)</f>
        <v>48710.93649</v>
      </c>
      <c r="H63" s="697"/>
      <c r="I63" s="698"/>
      <c r="J63" s="699">
        <f>SUM(J4:J62)</f>
        <v>1510.71325</v>
      </c>
      <c r="K63" s="700">
        <f>SUM(K4:K62)</f>
        <v>4473.1758851158465</v>
      </c>
      <c r="L63" s="701">
        <f>SUM(L4:L62)</f>
        <v>16363.452782802224</v>
      </c>
      <c r="M63" s="702"/>
      <c r="N63" s="700">
        <f>SUM(N4:N62)</f>
        <v>11993.279796573057</v>
      </c>
      <c r="O63" s="703">
        <f>SUM(O4:O62)</f>
        <v>10400.033140000001</v>
      </c>
    </row>
    <row r="64" spans="1:15" ht="13.5">
      <c r="A64" s="704"/>
      <c r="B64" s="704"/>
      <c r="C64" s="705"/>
      <c r="D64" s="705"/>
      <c r="E64" s="705"/>
      <c r="F64" s="706"/>
      <c r="G64" s="707"/>
      <c r="H64" s="707"/>
      <c r="I64" s="707"/>
      <c r="J64" s="707"/>
      <c r="K64" s="707"/>
      <c r="L64" s="707"/>
      <c r="M64" s="707"/>
      <c r="N64" s="707"/>
      <c r="O64" s="707"/>
    </row>
    <row r="65" spans="1:15" ht="12.75">
      <c r="A65" s="708" t="s">
        <v>445</v>
      </c>
      <c r="B65" s="488"/>
      <c r="C65" s="488"/>
      <c r="D65" s="488"/>
      <c r="E65" s="552"/>
      <c r="F65" s="709"/>
      <c r="G65" s="709"/>
      <c r="H65" s="705"/>
      <c r="I65" s="705"/>
      <c r="J65" s="705"/>
      <c r="K65" s="705"/>
      <c r="L65" s="705"/>
      <c r="M65" s="705"/>
      <c r="N65" s="705"/>
      <c r="O65" s="705"/>
    </row>
    <row r="66" spans="1:15" ht="15" customHeight="1">
      <c r="A66" s="488"/>
      <c r="B66" s="488"/>
      <c r="C66" s="488"/>
      <c r="D66" s="488"/>
      <c r="E66" s="552"/>
      <c r="F66" s="709"/>
      <c r="G66" s="709"/>
      <c r="H66" s="488"/>
      <c r="I66" s="488"/>
      <c r="J66" s="488"/>
      <c r="K66" s="498"/>
      <c r="L66" s="498"/>
      <c r="M66" s="1"/>
      <c r="N66" s="1"/>
      <c r="O66" s="705"/>
    </row>
    <row r="67" spans="1:15" ht="27" customHeight="1">
      <c r="A67" s="758" t="s">
        <v>296</v>
      </c>
      <c r="B67" s="760" t="s">
        <v>449</v>
      </c>
      <c r="C67" s="760" t="s">
        <v>450</v>
      </c>
      <c r="D67" s="760" t="s">
        <v>519</v>
      </c>
      <c r="E67" s="760" t="s">
        <v>393</v>
      </c>
      <c r="F67" s="760" t="s">
        <v>451</v>
      </c>
      <c r="G67" s="762" t="s">
        <v>520</v>
      </c>
      <c r="H67" s="760" t="s">
        <v>453</v>
      </c>
      <c r="I67" s="760" t="s">
        <v>454</v>
      </c>
      <c r="J67" s="760" t="s">
        <v>455</v>
      </c>
      <c r="K67" s="764" t="s">
        <v>456</v>
      </c>
      <c r="L67" s="765"/>
      <c r="M67" s="765"/>
      <c r="N67" s="766"/>
      <c r="O67" s="80"/>
    </row>
    <row r="68" spans="1:15" ht="91.5" customHeight="1">
      <c r="A68" s="759"/>
      <c r="B68" s="761"/>
      <c r="C68" s="761"/>
      <c r="D68" s="761"/>
      <c r="E68" s="761"/>
      <c r="F68" s="761"/>
      <c r="G68" s="763"/>
      <c r="H68" s="761"/>
      <c r="I68" s="761"/>
      <c r="J68" s="761"/>
      <c r="K68" s="594" t="s">
        <v>458</v>
      </c>
      <c r="L68" s="595" t="s">
        <v>459</v>
      </c>
      <c r="M68" s="595" t="s">
        <v>460</v>
      </c>
      <c r="N68" s="595" t="s">
        <v>461</v>
      </c>
      <c r="O68" s="80"/>
    </row>
    <row r="69" spans="1:15" ht="36.75" customHeight="1">
      <c r="A69" s="710" t="s">
        <v>329</v>
      </c>
      <c r="B69" s="567">
        <v>13</v>
      </c>
      <c r="C69" s="567" t="s">
        <v>409</v>
      </c>
      <c r="D69" s="577" t="s">
        <v>521</v>
      </c>
      <c r="E69" s="711">
        <v>42041741</v>
      </c>
      <c r="F69" s="712" t="s">
        <v>475</v>
      </c>
      <c r="G69" s="600">
        <v>0</v>
      </c>
      <c r="H69" s="609"/>
      <c r="I69" s="609"/>
      <c r="J69" s="609"/>
      <c r="K69" s="646">
        <v>191.7822312952267</v>
      </c>
      <c r="L69" s="646">
        <v>191.7822312952267</v>
      </c>
      <c r="M69" s="601">
        <v>39722</v>
      </c>
      <c r="N69" s="646">
        <v>294.2369713868419</v>
      </c>
      <c r="O69" s="1"/>
    </row>
    <row r="70" spans="1:15" ht="39">
      <c r="A70" s="560" t="s">
        <v>334</v>
      </c>
      <c r="B70" s="567">
        <v>13</v>
      </c>
      <c r="C70" s="567" t="s">
        <v>409</v>
      </c>
      <c r="D70" s="577" t="s">
        <v>522</v>
      </c>
      <c r="E70" s="576">
        <v>42093937</v>
      </c>
      <c r="F70" s="712" t="s">
        <v>475</v>
      </c>
      <c r="G70" s="561">
        <v>0</v>
      </c>
      <c r="H70" s="553"/>
      <c r="I70" s="553"/>
      <c r="J70" s="553"/>
      <c r="K70" s="646">
        <v>123.78976</v>
      </c>
      <c r="L70" s="646">
        <v>123.78976</v>
      </c>
      <c r="M70" s="601">
        <v>39589</v>
      </c>
      <c r="N70" s="646">
        <v>88.10095</v>
      </c>
      <c r="O70" s="1"/>
    </row>
    <row r="71" spans="1:15" ht="39">
      <c r="A71" s="604" t="s">
        <v>314</v>
      </c>
      <c r="B71" s="616">
        <v>13</v>
      </c>
      <c r="C71" s="616" t="s">
        <v>409</v>
      </c>
      <c r="D71" s="713" t="s">
        <v>523</v>
      </c>
      <c r="E71" s="714">
        <v>42093937</v>
      </c>
      <c r="F71" s="616" t="s">
        <v>475</v>
      </c>
      <c r="G71" s="683">
        <v>0</v>
      </c>
      <c r="H71" s="11"/>
      <c r="I71" s="604"/>
      <c r="J71" s="11"/>
      <c r="K71" s="646">
        <v>311.04985</v>
      </c>
      <c r="L71" s="646">
        <v>311.04985</v>
      </c>
      <c r="M71" s="606">
        <v>39561</v>
      </c>
      <c r="N71" s="646">
        <v>677.24404</v>
      </c>
      <c r="O71" s="1"/>
    </row>
    <row r="72" spans="1:15" ht="13.5">
      <c r="A72" s="715" t="s">
        <v>4</v>
      </c>
      <c r="B72" s="716"/>
      <c r="C72" s="716"/>
      <c r="D72" s="716"/>
      <c r="E72" s="716"/>
      <c r="F72" s="717"/>
      <c r="G72" s="696">
        <v>0</v>
      </c>
      <c r="H72" s="718"/>
      <c r="I72" s="719"/>
      <c r="J72" s="718">
        <f>SUM(J69:J71)</f>
        <v>0</v>
      </c>
      <c r="K72" s="720">
        <f>SUM(K69:K71)</f>
        <v>626.6218412952267</v>
      </c>
      <c r="L72" s="721">
        <f>SUM(L69:L71)</f>
        <v>626.6218412952267</v>
      </c>
      <c r="M72" s="722"/>
      <c r="N72" s="720">
        <f>SUM(N69:N71)</f>
        <v>1059.581961386842</v>
      </c>
      <c r="O72" s="80"/>
    </row>
    <row r="73" spans="1:15" ht="13.5">
      <c r="A73" s="723"/>
      <c r="B73" s="80"/>
      <c r="C73" s="80"/>
      <c r="D73" s="80"/>
      <c r="E73" s="80"/>
      <c r="F73" s="724"/>
      <c r="G73" s="725"/>
      <c r="H73" s="726"/>
      <c r="I73" s="726"/>
      <c r="J73" s="726"/>
      <c r="K73" s="726"/>
      <c r="L73" s="726"/>
      <c r="M73" s="726"/>
      <c r="N73" s="726"/>
      <c r="O73" s="80"/>
    </row>
    <row r="74" spans="1:7" ht="13.5">
      <c r="A74" s="592" t="s">
        <v>390</v>
      </c>
      <c r="B74" s="592"/>
      <c r="C74" s="592"/>
      <c r="D74" s="727"/>
      <c r="F74" s="728"/>
      <c r="G74" s="728"/>
    </row>
    <row r="75" spans="1:10" ht="15">
      <c r="A75" s="729">
        <v>1</v>
      </c>
      <c r="B75" s="730" t="s">
        <v>433</v>
      </c>
      <c r="C75" s="731"/>
      <c r="D75" s="727"/>
      <c r="F75" s="728"/>
      <c r="G75" s="728"/>
      <c r="I75" s="729">
        <v>10</v>
      </c>
      <c r="J75" s="730" t="s">
        <v>442</v>
      </c>
    </row>
    <row r="76" spans="1:10" ht="15">
      <c r="A76" s="729">
        <v>2</v>
      </c>
      <c r="B76" s="730" t="s">
        <v>434</v>
      </c>
      <c r="C76" s="731"/>
      <c r="D76" s="727"/>
      <c r="F76" s="728"/>
      <c r="G76" s="728"/>
      <c r="I76" s="729">
        <v>11</v>
      </c>
      <c r="J76" s="730" t="s">
        <v>443</v>
      </c>
    </row>
    <row r="77" spans="1:10" ht="15">
      <c r="A77" s="729">
        <v>3</v>
      </c>
      <c r="B77" s="730" t="s">
        <v>435</v>
      </c>
      <c r="C77" s="731"/>
      <c r="D77" s="727"/>
      <c r="F77" s="728"/>
      <c r="G77" s="728"/>
      <c r="I77" s="729">
        <v>12</v>
      </c>
      <c r="J77" s="730" t="s">
        <v>444</v>
      </c>
    </row>
    <row r="78" spans="1:10" ht="15">
      <c r="A78" s="729">
        <v>4</v>
      </c>
      <c r="B78" s="730" t="s">
        <v>436</v>
      </c>
      <c r="C78" s="731"/>
      <c r="D78" s="727"/>
      <c r="F78" s="728"/>
      <c r="G78" s="728"/>
      <c r="I78" s="729">
        <v>13</v>
      </c>
      <c r="J78" s="730" t="s">
        <v>445</v>
      </c>
    </row>
    <row r="79" spans="1:10" ht="15">
      <c r="A79" s="729">
        <v>5</v>
      </c>
      <c r="B79" s="730" t="s">
        <v>437</v>
      </c>
      <c r="C79" s="731"/>
      <c r="D79" s="727"/>
      <c r="F79" s="728"/>
      <c r="G79" s="728"/>
      <c r="I79" s="705"/>
      <c r="J79" s="705"/>
    </row>
    <row r="80" spans="1:7" ht="15">
      <c r="A80" s="729">
        <v>6</v>
      </c>
      <c r="B80" s="730" t="s">
        <v>438</v>
      </c>
      <c r="F80" s="728"/>
      <c r="G80" s="728"/>
    </row>
    <row r="81" spans="1:10" ht="15">
      <c r="A81" s="729">
        <v>7</v>
      </c>
      <c r="B81" s="730" t="s">
        <v>439</v>
      </c>
      <c r="F81" s="728"/>
      <c r="G81" s="728"/>
      <c r="I81" s="592" t="s">
        <v>391</v>
      </c>
      <c r="J81" s="592"/>
    </row>
    <row r="82" spans="1:10" ht="15">
      <c r="A82" s="729">
        <v>8</v>
      </c>
      <c r="B82" s="730" t="s">
        <v>440</v>
      </c>
      <c r="F82" s="728"/>
      <c r="G82" s="728"/>
      <c r="I82" s="729" t="s">
        <v>397</v>
      </c>
      <c r="J82" s="730" t="s">
        <v>446</v>
      </c>
    </row>
    <row r="83" spans="1:10" ht="15">
      <c r="A83" s="729">
        <v>9</v>
      </c>
      <c r="B83" s="730" t="s">
        <v>441</v>
      </c>
      <c r="F83" s="728"/>
      <c r="G83" s="728"/>
      <c r="I83" s="729" t="s">
        <v>409</v>
      </c>
      <c r="J83" s="730" t="s">
        <v>447</v>
      </c>
    </row>
    <row r="84" spans="1:10" ht="12.75">
      <c r="A84" s="705"/>
      <c r="B84" s="705"/>
      <c r="C84" s="705"/>
      <c r="D84" s="705"/>
      <c r="E84" s="705"/>
      <c r="F84" s="706"/>
      <c r="G84" s="706"/>
      <c r="J84" s="705"/>
    </row>
    <row r="85" spans="1:7" ht="13.5">
      <c r="A85" s="705"/>
      <c r="B85" s="732" t="s">
        <v>464</v>
      </c>
      <c r="C85" s="733" t="s">
        <v>524</v>
      </c>
      <c r="D85" s="706"/>
      <c r="F85" s="728"/>
      <c r="G85" s="728"/>
    </row>
    <row r="86" spans="1:7" ht="13.5">
      <c r="A86" s="705"/>
      <c r="B86" s="732" t="s">
        <v>462</v>
      </c>
      <c r="C86" s="733" t="s">
        <v>525</v>
      </c>
      <c r="G86" s="728"/>
    </row>
    <row r="87" spans="1:7" ht="13.5">
      <c r="A87" s="705"/>
      <c r="B87" s="732" t="s">
        <v>471</v>
      </c>
      <c r="C87" s="733" t="s">
        <v>526</v>
      </c>
      <c r="F87" s="728"/>
      <c r="G87" s="728"/>
    </row>
    <row r="88" spans="1:10" ht="13.5">
      <c r="A88" s="705"/>
      <c r="B88" s="732" t="s">
        <v>475</v>
      </c>
      <c r="C88" s="733" t="s">
        <v>527</v>
      </c>
      <c r="F88" s="728"/>
      <c r="G88" s="728"/>
      <c r="H88" s="705"/>
      <c r="I88" s="705"/>
      <c r="J88" s="705"/>
    </row>
  </sheetData>
  <sheetProtection/>
  <mergeCells count="24">
    <mergeCell ref="O2:O3"/>
    <mergeCell ref="A67:A68"/>
    <mergeCell ref="B67:B68"/>
    <mergeCell ref="C67:C68"/>
    <mergeCell ref="D67:D68"/>
    <mergeCell ref="E67:E68"/>
    <mergeCell ref="F67:F68"/>
    <mergeCell ref="G67:G68"/>
    <mergeCell ref="H67:H68"/>
    <mergeCell ref="I67:I68"/>
    <mergeCell ref="J67:J68"/>
    <mergeCell ref="K67:N67"/>
    <mergeCell ref="J2:J3"/>
    <mergeCell ref="K2:N2"/>
    <mergeCell ref="A1:J1"/>
    <mergeCell ref="A2:A3"/>
    <mergeCell ref="B2:B3"/>
    <mergeCell ref="C2:C3"/>
    <mergeCell ref="D2:D3"/>
    <mergeCell ref="E2:E3"/>
    <mergeCell ref="F2:F3"/>
    <mergeCell ref="G2:G3"/>
    <mergeCell ref="H2:H3"/>
    <mergeCell ref="I2:I3"/>
  </mergeCells>
  <printOptions horizontalCentered="1"/>
  <pageMargins left="0.1968503937007874" right="0.1968503937007874" top="0.2755905511811024" bottom="0.1968503937007874" header="0.5118110236220472" footer="0.2755905511811024"/>
  <pageSetup fitToHeight="1" fitToWidth="1" horizontalDpi="600" verticalDpi="600" orientation="portrait" paperSize="9" scale="42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0"/>
  <sheetViews>
    <sheetView zoomScalePageLayoutView="0" workbookViewId="0" topLeftCell="A41">
      <selection activeCell="A64" sqref="A64"/>
    </sheetView>
  </sheetViews>
  <sheetFormatPr defaultColWidth="3.421875" defaultRowHeight="15" customHeight="1"/>
  <cols>
    <col min="1" max="1" width="45.8515625" style="28" customWidth="1"/>
    <col min="2" max="5" width="16.7109375" style="28" customWidth="1"/>
    <col min="6" max="7" width="12.28125" style="28" customWidth="1"/>
    <col min="8" max="10" width="9.8515625" style="28" customWidth="1"/>
    <col min="11" max="13" width="3.421875" style="28" customWidth="1"/>
    <col min="14" max="14" width="12.421875" style="28" customWidth="1"/>
    <col min="15" max="16384" width="3.421875" style="28" customWidth="1"/>
  </cols>
  <sheetData>
    <row r="1" ht="15" customHeight="1">
      <c r="J1" s="30"/>
    </row>
    <row r="3" spans="4:11" ht="15" customHeight="1">
      <c r="D3" s="31"/>
      <c r="E3" s="31"/>
      <c r="F3" s="31"/>
      <c r="K3" s="31"/>
    </row>
    <row r="4" s="32" customFormat="1" ht="15" customHeight="1">
      <c r="J4" s="33"/>
    </row>
    <row r="5" spans="4:13" s="32" customFormat="1" ht="15" customHeight="1">
      <c r="D5" s="34"/>
      <c r="E5" s="34"/>
      <c r="F5" s="34"/>
      <c r="K5" s="34"/>
      <c r="L5" s="34"/>
      <c r="M5" s="34"/>
    </row>
    <row r="6" spans="11:13" s="32" customFormat="1" ht="15" customHeight="1">
      <c r="K6" s="34"/>
      <c r="L6" s="34"/>
      <c r="M6" s="34"/>
    </row>
    <row r="7" spans="1:13" s="32" customFormat="1" ht="15" customHeight="1">
      <c r="A7" s="32" t="s">
        <v>5</v>
      </c>
      <c r="K7" s="34"/>
      <c r="L7" s="34"/>
      <c r="M7" s="34"/>
    </row>
    <row r="8" spans="11:13" s="32" customFormat="1" ht="15" customHeight="1">
      <c r="K8" s="34"/>
      <c r="L8" s="34"/>
      <c r="M8" s="34"/>
    </row>
    <row r="9" spans="10:13" s="32" customFormat="1" ht="15" customHeight="1">
      <c r="J9" s="33" t="s">
        <v>3</v>
      </c>
      <c r="K9" s="34"/>
      <c r="L9" s="34"/>
      <c r="M9" s="35"/>
    </row>
    <row r="10" spans="1:15" s="32" customFormat="1" ht="62.25" customHeight="1">
      <c r="A10" s="36" t="s">
        <v>6</v>
      </c>
      <c r="B10" s="36" t="s">
        <v>74</v>
      </c>
      <c r="C10" s="29" t="s">
        <v>75</v>
      </c>
      <c r="D10" s="36" t="s">
        <v>159</v>
      </c>
      <c r="E10" s="36" t="s">
        <v>160</v>
      </c>
      <c r="F10" s="36" t="s">
        <v>161</v>
      </c>
      <c r="G10" s="36" t="s">
        <v>162</v>
      </c>
      <c r="H10" s="36" t="s">
        <v>163</v>
      </c>
      <c r="I10" s="36" t="s">
        <v>164</v>
      </c>
      <c r="J10" s="36" t="s">
        <v>165</v>
      </c>
      <c r="L10" s="37"/>
      <c r="M10" s="37"/>
      <c r="N10" s="37"/>
      <c r="O10" s="37"/>
    </row>
    <row r="11" spans="1:15" s="32" customFormat="1" ht="15" customHeight="1">
      <c r="A11" s="36" t="s">
        <v>0</v>
      </c>
      <c r="B11" s="36">
        <v>1</v>
      </c>
      <c r="C11" s="36">
        <v>2</v>
      </c>
      <c r="D11" s="38">
        <v>3</v>
      </c>
      <c r="E11" s="38">
        <v>4</v>
      </c>
      <c r="F11" s="36">
        <v>5</v>
      </c>
      <c r="G11" s="36">
        <v>6</v>
      </c>
      <c r="H11" s="36">
        <v>7</v>
      </c>
      <c r="I11" s="38">
        <v>8</v>
      </c>
      <c r="J11" s="38">
        <v>9</v>
      </c>
      <c r="L11" s="37"/>
      <c r="M11" s="37"/>
      <c r="N11" s="37"/>
      <c r="O11" s="37"/>
    </row>
    <row r="12" spans="1:15" s="32" customFormat="1" ht="17.25" customHeight="1">
      <c r="A12" s="39" t="s">
        <v>7</v>
      </c>
      <c r="B12" s="40"/>
      <c r="C12" s="40"/>
      <c r="D12" s="41"/>
      <c r="E12" s="41"/>
      <c r="F12" s="40"/>
      <c r="G12" s="40"/>
      <c r="H12" s="40"/>
      <c r="I12" s="41"/>
      <c r="J12" s="41"/>
      <c r="L12" s="37"/>
      <c r="M12" s="37"/>
      <c r="N12" s="37"/>
      <c r="O12" s="37"/>
    </row>
    <row r="13" spans="1:15" s="32" customFormat="1" ht="15" customHeight="1">
      <c r="A13" s="42" t="s">
        <v>8</v>
      </c>
      <c r="B13" s="43">
        <v>304835</v>
      </c>
      <c r="C13" s="43">
        <v>292400</v>
      </c>
      <c r="D13" s="43">
        <v>263778</v>
      </c>
      <c r="E13" s="43">
        <v>289665</v>
      </c>
      <c r="F13" s="43">
        <f>+E13-B13</f>
        <v>-15170</v>
      </c>
      <c r="G13" s="43">
        <f>+E13-C13</f>
        <v>-2735</v>
      </c>
      <c r="H13" s="44">
        <f>+E13/B13*100</f>
        <v>95.02353732347008</v>
      </c>
      <c r="I13" s="44">
        <f>+E13/C13*100</f>
        <v>99.06463748290014</v>
      </c>
      <c r="J13" s="44">
        <f>+E13/D13*100</f>
        <v>109.8139344448741</v>
      </c>
      <c r="L13" s="34"/>
      <c r="M13" s="45"/>
      <c r="N13" s="45"/>
      <c r="O13" s="46"/>
    </row>
    <row r="14" spans="1:15" s="32" customFormat="1" ht="15" customHeight="1">
      <c r="A14" s="47" t="s">
        <v>9</v>
      </c>
      <c r="B14" s="48">
        <v>12203</v>
      </c>
      <c r="C14" s="48">
        <v>10480</v>
      </c>
      <c r="D14" s="43">
        <v>10481</v>
      </c>
      <c r="E14" s="43">
        <v>9570</v>
      </c>
      <c r="F14" s="43">
        <f aca="true" t="shared" si="0" ref="F14:F66">+E14-B14</f>
        <v>-2633</v>
      </c>
      <c r="G14" s="43">
        <f aca="true" t="shared" si="1" ref="G14:G66">+E14-C14</f>
        <v>-910</v>
      </c>
      <c r="H14" s="44">
        <f aca="true" t="shared" si="2" ref="H14:H66">+E14/B14*100</f>
        <v>78.42333852331393</v>
      </c>
      <c r="I14" s="44">
        <f aca="true" t="shared" si="3" ref="I14:I66">+E14/C14*100</f>
        <v>91.31679389312977</v>
      </c>
      <c r="J14" s="44">
        <f aca="true" t="shared" si="4" ref="J14:J66">+E14/D14*100</f>
        <v>91.30808128995325</v>
      </c>
      <c r="L14" s="37"/>
      <c r="M14" s="45"/>
      <c r="N14" s="45"/>
      <c r="O14" s="46"/>
    </row>
    <row r="15" spans="1:15" s="32" customFormat="1" ht="15" customHeight="1">
      <c r="A15" s="47" t="s">
        <v>10</v>
      </c>
      <c r="B15" s="48">
        <v>66</v>
      </c>
      <c r="C15" s="48">
        <v>66</v>
      </c>
      <c r="D15" s="43">
        <v>58</v>
      </c>
      <c r="E15" s="43">
        <v>52</v>
      </c>
      <c r="F15" s="43">
        <f t="shared" si="0"/>
        <v>-14</v>
      </c>
      <c r="G15" s="43">
        <f t="shared" si="1"/>
        <v>-14</v>
      </c>
      <c r="H15" s="44">
        <f t="shared" si="2"/>
        <v>78.78787878787878</v>
      </c>
      <c r="I15" s="44">
        <f t="shared" si="3"/>
        <v>78.78787878787878</v>
      </c>
      <c r="J15" s="44">
        <f t="shared" si="4"/>
        <v>89.65517241379311</v>
      </c>
      <c r="L15" s="37"/>
      <c r="M15" s="45"/>
      <c r="N15" s="45"/>
      <c r="O15" s="46"/>
    </row>
    <row r="16" spans="1:15" s="32" customFormat="1" ht="15" customHeight="1">
      <c r="A16" s="47" t="s">
        <v>11</v>
      </c>
      <c r="B16" s="48">
        <v>114830</v>
      </c>
      <c r="C16" s="48">
        <v>119630</v>
      </c>
      <c r="D16" s="49">
        <v>107125</v>
      </c>
      <c r="E16" s="49">
        <v>128873</v>
      </c>
      <c r="F16" s="43">
        <f t="shared" si="0"/>
        <v>14043</v>
      </c>
      <c r="G16" s="43">
        <f t="shared" si="1"/>
        <v>9243</v>
      </c>
      <c r="H16" s="44">
        <f t="shared" si="2"/>
        <v>112.22938256553165</v>
      </c>
      <c r="I16" s="44">
        <f t="shared" si="3"/>
        <v>107.7263228287219</v>
      </c>
      <c r="J16" s="44">
        <f t="shared" si="4"/>
        <v>120.30151691948659</v>
      </c>
      <c r="L16" s="37"/>
      <c r="M16" s="45"/>
      <c r="N16" s="45"/>
      <c r="O16" s="46"/>
    </row>
    <row r="17" spans="1:13" s="32" customFormat="1" ht="15" customHeight="1">
      <c r="A17" s="47" t="s">
        <v>12</v>
      </c>
      <c r="B17" s="43">
        <v>0</v>
      </c>
      <c r="C17" s="43">
        <v>0</v>
      </c>
      <c r="D17" s="43">
        <v>-6</v>
      </c>
      <c r="E17" s="43">
        <v>0</v>
      </c>
      <c r="F17" s="43">
        <f t="shared" si="0"/>
        <v>0</v>
      </c>
      <c r="G17" s="43">
        <f t="shared" si="1"/>
        <v>0</v>
      </c>
      <c r="H17" s="44">
        <v>0</v>
      </c>
      <c r="I17" s="44">
        <v>0</v>
      </c>
      <c r="J17" s="44">
        <f t="shared" si="4"/>
        <v>0</v>
      </c>
      <c r="K17" s="45"/>
      <c r="L17" s="45"/>
      <c r="M17" s="46"/>
    </row>
    <row r="18" spans="1:15" s="32" customFormat="1" ht="15" customHeight="1">
      <c r="A18" s="50" t="s">
        <v>13</v>
      </c>
      <c r="B18" s="51">
        <f>+B13+B14+B15+B16+B17</f>
        <v>431934</v>
      </c>
      <c r="C18" s="51">
        <f>+C13+C14+C15+C16+C17</f>
        <v>422576</v>
      </c>
      <c r="D18" s="51">
        <f>+D13+D14+D15+D16+D17</f>
        <v>381436</v>
      </c>
      <c r="E18" s="51">
        <f>+E13+E14+E15+E16+E17</f>
        <v>428160</v>
      </c>
      <c r="F18" s="52">
        <f t="shared" si="0"/>
        <v>-3774</v>
      </c>
      <c r="G18" s="52">
        <f t="shared" si="1"/>
        <v>5584</v>
      </c>
      <c r="H18" s="53">
        <f t="shared" si="2"/>
        <v>99.12625540013057</v>
      </c>
      <c r="I18" s="53">
        <f t="shared" si="3"/>
        <v>101.32141910567567</v>
      </c>
      <c r="J18" s="53">
        <f t="shared" si="4"/>
        <v>112.24949926068855</v>
      </c>
      <c r="L18" s="34"/>
      <c r="M18" s="45"/>
      <c r="N18" s="54"/>
      <c r="O18" s="46"/>
    </row>
    <row r="19" spans="1:10" ht="15" customHeight="1">
      <c r="A19" s="55" t="s">
        <v>14</v>
      </c>
      <c r="B19" s="55"/>
      <c r="C19" s="55"/>
      <c r="D19" s="55"/>
      <c r="E19" s="55"/>
      <c r="F19" s="55"/>
      <c r="G19" s="43"/>
      <c r="H19" s="55"/>
      <c r="I19" s="55"/>
      <c r="J19" s="55"/>
    </row>
    <row r="20" spans="1:10" ht="15" customHeight="1">
      <c r="A20" s="55" t="s">
        <v>15</v>
      </c>
      <c r="B20" s="56">
        <v>4129448</v>
      </c>
      <c r="C20" s="56">
        <v>4129448</v>
      </c>
      <c r="D20" s="58">
        <v>3926901</v>
      </c>
      <c r="E20" s="57">
        <v>4165740</v>
      </c>
      <c r="F20" s="43">
        <f t="shared" si="0"/>
        <v>36292</v>
      </c>
      <c r="G20" s="43">
        <f t="shared" si="1"/>
        <v>36292</v>
      </c>
      <c r="H20" s="44">
        <f t="shared" si="2"/>
        <v>100.87885838494637</v>
      </c>
      <c r="I20" s="44">
        <f t="shared" si="3"/>
        <v>100.87885838494637</v>
      </c>
      <c r="J20" s="44">
        <f t="shared" si="4"/>
        <v>106.082124301071</v>
      </c>
    </row>
    <row r="21" spans="1:10" ht="15" customHeight="1">
      <c r="A21" s="55" t="s">
        <v>16</v>
      </c>
      <c r="B21" s="58">
        <v>212060</v>
      </c>
      <c r="C21" s="58">
        <v>212060</v>
      </c>
      <c r="D21" s="58">
        <v>172515</v>
      </c>
      <c r="E21" s="57">
        <v>128032</v>
      </c>
      <c r="F21" s="43">
        <f t="shared" si="0"/>
        <v>-84028</v>
      </c>
      <c r="G21" s="43">
        <f t="shared" si="1"/>
        <v>-84028</v>
      </c>
      <c r="H21" s="44">
        <f t="shared" si="2"/>
        <v>60.375365462604925</v>
      </c>
      <c r="I21" s="44">
        <f t="shared" si="3"/>
        <v>60.375365462604925</v>
      </c>
      <c r="J21" s="44">
        <f t="shared" si="4"/>
        <v>74.21499579746688</v>
      </c>
    </row>
    <row r="22" spans="1:10" ht="15" customHeight="1">
      <c r="A22" s="55" t="s">
        <v>17</v>
      </c>
      <c r="B22" s="58">
        <v>433250</v>
      </c>
      <c r="C22" s="58">
        <v>433250</v>
      </c>
      <c r="D22" s="58">
        <v>412538</v>
      </c>
      <c r="E22" s="57">
        <v>428324</v>
      </c>
      <c r="F22" s="43">
        <f t="shared" si="0"/>
        <v>-4926</v>
      </c>
      <c r="G22" s="43">
        <f t="shared" si="1"/>
        <v>-4926</v>
      </c>
      <c r="H22" s="44">
        <f t="shared" si="2"/>
        <v>98.86301211771494</v>
      </c>
      <c r="I22" s="44">
        <f t="shared" si="3"/>
        <v>98.86301211771494</v>
      </c>
      <c r="J22" s="44">
        <f t="shared" si="4"/>
        <v>103.82655658387834</v>
      </c>
    </row>
    <row r="23" spans="1:10" ht="15" customHeight="1">
      <c r="A23" s="55" t="s">
        <v>18</v>
      </c>
      <c r="B23" s="58">
        <v>35157</v>
      </c>
      <c r="C23" s="58">
        <v>35157</v>
      </c>
      <c r="D23" s="58">
        <v>31992</v>
      </c>
      <c r="E23" s="57">
        <v>34746</v>
      </c>
      <c r="F23" s="43">
        <f t="shared" si="0"/>
        <v>-411</v>
      </c>
      <c r="G23" s="43">
        <f t="shared" si="1"/>
        <v>-411</v>
      </c>
      <c r="H23" s="44">
        <f t="shared" si="2"/>
        <v>98.83095827289019</v>
      </c>
      <c r="I23" s="44">
        <f t="shared" si="3"/>
        <v>98.83095827289019</v>
      </c>
      <c r="J23" s="44">
        <f t="shared" si="4"/>
        <v>108.60840210052514</v>
      </c>
    </row>
    <row r="24" spans="1:10" ht="15" customHeight="1">
      <c r="A24" s="55" t="s">
        <v>19</v>
      </c>
      <c r="B24" s="58">
        <v>4177</v>
      </c>
      <c r="C24" s="58">
        <v>4177</v>
      </c>
      <c r="D24" s="58">
        <v>3795</v>
      </c>
      <c r="E24" s="57">
        <v>3362</v>
      </c>
      <c r="F24" s="43">
        <f t="shared" si="0"/>
        <v>-815</v>
      </c>
      <c r="G24" s="43">
        <f t="shared" si="1"/>
        <v>-815</v>
      </c>
      <c r="H24" s="44">
        <f t="shared" si="2"/>
        <v>80.48838879578645</v>
      </c>
      <c r="I24" s="44">
        <f t="shared" si="3"/>
        <v>80.48838879578645</v>
      </c>
      <c r="J24" s="44">
        <f t="shared" si="4"/>
        <v>88.59025032938077</v>
      </c>
    </row>
    <row r="25" spans="1:10" ht="15" customHeight="1">
      <c r="A25" s="55" t="s">
        <v>20</v>
      </c>
      <c r="B25" s="58">
        <v>0</v>
      </c>
      <c r="C25" s="58">
        <v>0</v>
      </c>
      <c r="D25" s="58">
        <v>109</v>
      </c>
      <c r="E25" s="57">
        <v>137</v>
      </c>
      <c r="F25" s="43">
        <f t="shared" si="0"/>
        <v>137</v>
      </c>
      <c r="G25" s="43">
        <f t="shared" si="1"/>
        <v>137</v>
      </c>
      <c r="H25" s="44">
        <v>0</v>
      </c>
      <c r="I25" s="44">
        <v>0</v>
      </c>
      <c r="J25" s="44">
        <f t="shared" si="4"/>
        <v>125.68807339449542</v>
      </c>
    </row>
    <row r="26" spans="1:10" ht="15" customHeight="1">
      <c r="A26" s="59" t="s">
        <v>4</v>
      </c>
      <c r="B26" s="60">
        <f>B20+B21+B22+B23+B24+B25</f>
        <v>4814092</v>
      </c>
      <c r="C26" s="60">
        <f>C20+C21+C22+C23+C24+C25</f>
        <v>4814092</v>
      </c>
      <c r="D26" s="60">
        <v>4547850</v>
      </c>
      <c r="E26" s="60">
        <v>4760341</v>
      </c>
      <c r="F26" s="52">
        <f t="shared" si="0"/>
        <v>-53751</v>
      </c>
      <c r="G26" s="52">
        <f t="shared" si="1"/>
        <v>-53751</v>
      </c>
      <c r="H26" s="53">
        <f t="shared" si="2"/>
        <v>98.88346545932234</v>
      </c>
      <c r="I26" s="53">
        <f t="shared" si="3"/>
        <v>98.88346545932234</v>
      </c>
      <c r="J26" s="53">
        <f t="shared" si="4"/>
        <v>104.67233967699023</v>
      </c>
    </row>
    <row r="27" spans="1:10" ht="15" customHeight="1">
      <c r="A27" s="55" t="s">
        <v>21</v>
      </c>
      <c r="B27" s="58"/>
      <c r="C27" s="58"/>
      <c r="D27" s="58"/>
      <c r="E27" s="58"/>
      <c r="F27" s="43"/>
      <c r="G27" s="43"/>
      <c r="H27" s="58"/>
      <c r="I27" s="58"/>
      <c r="J27" s="58"/>
    </row>
    <row r="28" spans="1:10" ht="15" customHeight="1">
      <c r="A28" s="55" t="s">
        <v>22</v>
      </c>
      <c r="B28" s="58">
        <v>724390</v>
      </c>
      <c r="C28" s="58">
        <v>724390</v>
      </c>
      <c r="D28" s="58">
        <v>689217</v>
      </c>
      <c r="E28" s="57">
        <v>722918</v>
      </c>
      <c r="F28" s="43">
        <f t="shared" si="0"/>
        <v>-1472</v>
      </c>
      <c r="G28" s="43">
        <f t="shared" si="1"/>
        <v>-1472</v>
      </c>
      <c r="H28" s="44">
        <f t="shared" si="2"/>
        <v>99.79679454437527</v>
      </c>
      <c r="I28" s="44">
        <f t="shared" si="3"/>
        <v>99.79679454437527</v>
      </c>
      <c r="J28" s="44">
        <f t="shared" si="4"/>
        <v>104.88975170374498</v>
      </c>
    </row>
    <row r="29" spans="1:10" ht="15" customHeight="1">
      <c r="A29" s="55" t="s">
        <v>17</v>
      </c>
      <c r="B29" s="58">
        <v>110873</v>
      </c>
      <c r="C29" s="58">
        <v>110873</v>
      </c>
      <c r="D29" s="58">
        <v>104124</v>
      </c>
      <c r="E29" s="57">
        <v>105520</v>
      </c>
      <c r="F29" s="43">
        <f t="shared" si="0"/>
        <v>-5353</v>
      </c>
      <c r="G29" s="43">
        <f t="shared" si="1"/>
        <v>-5353</v>
      </c>
      <c r="H29" s="44">
        <f t="shared" si="2"/>
        <v>95.17195349634267</v>
      </c>
      <c r="I29" s="44">
        <f t="shared" si="3"/>
        <v>95.17195349634267</v>
      </c>
      <c r="J29" s="44">
        <f t="shared" si="4"/>
        <v>101.34070915446966</v>
      </c>
    </row>
    <row r="30" spans="1:10" ht="15" customHeight="1">
      <c r="A30" s="55" t="s">
        <v>23</v>
      </c>
      <c r="B30" s="58">
        <v>11492</v>
      </c>
      <c r="C30" s="58">
        <v>11492</v>
      </c>
      <c r="D30" s="58">
        <v>10402</v>
      </c>
      <c r="E30" s="57">
        <v>11423</v>
      </c>
      <c r="F30" s="43">
        <f t="shared" si="0"/>
        <v>-69</v>
      </c>
      <c r="G30" s="43">
        <f t="shared" si="1"/>
        <v>-69</v>
      </c>
      <c r="H30" s="44">
        <f t="shared" si="2"/>
        <v>99.39958231813435</v>
      </c>
      <c r="I30" s="44">
        <f t="shared" si="3"/>
        <v>99.39958231813435</v>
      </c>
      <c r="J30" s="44">
        <f t="shared" si="4"/>
        <v>109.81542011151701</v>
      </c>
    </row>
    <row r="31" spans="1:10" ht="15" customHeight="1">
      <c r="A31" s="55" t="s">
        <v>19</v>
      </c>
      <c r="B31" s="58">
        <v>43813</v>
      </c>
      <c r="C31" s="58">
        <v>43813</v>
      </c>
      <c r="D31" s="58">
        <v>39262</v>
      </c>
      <c r="E31" s="57">
        <v>39439</v>
      </c>
      <c r="F31" s="43">
        <f t="shared" si="0"/>
        <v>-4374</v>
      </c>
      <c r="G31" s="43">
        <f t="shared" si="1"/>
        <v>-4374</v>
      </c>
      <c r="H31" s="44">
        <f t="shared" si="2"/>
        <v>90.01666172140689</v>
      </c>
      <c r="I31" s="44">
        <f t="shared" si="3"/>
        <v>90.01666172140689</v>
      </c>
      <c r="J31" s="44">
        <f t="shared" si="4"/>
        <v>100.4508175844328</v>
      </c>
    </row>
    <row r="32" spans="1:10" ht="15" customHeight="1">
      <c r="A32" s="55" t="s">
        <v>20</v>
      </c>
      <c r="B32" s="58">
        <v>0</v>
      </c>
      <c r="C32" s="58">
        <v>0</v>
      </c>
      <c r="D32" s="58">
        <v>224</v>
      </c>
      <c r="E32" s="57">
        <v>189</v>
      </c>
      <c r="F32" s="43">
        <f t="shared" si="0"/>
        <v>189</v>
      </c>
      <c r="G32" s="43">
        <f t="shared" si="1"/>
        <v>189</v>
      </c>
      <c r="H32" s="44">
        <v>0</v>
      </c>
      <c r="I32" s="44">
        <v>0</v>
      </c>
      <c r="J32" s="44">
        <f t="shared" si="4"/>
        <v>84.375</v>
      </c>
    </row>
    <row r="33" spans="1:10" ht="15" customHeight="1">
      <c r="A33" s="59" t="s">
        <v>4</v>
      </c>
      <c r="B33" s="60">
        <f>B28+B29+B30+B31+B32</f>
        <v>890568</v>
      </c>
      <c r="C33" s="60">
        <f>C28+C29+C30+C31+C32</f>
        <v>890568</v>
      </c>
      <c r="D33" s="60">
        <v>843229</v>
      </c>
      <c r="E33" s="60">
        <v>879489</v>
      </c>
      <c r="F33" s="52">
        <f t="shared" si="0"/>
        <v>-11079</v>
      </c>
      <c r="G33" s="52">
        <f t="shared" si="1"/>
        <v>-11079</v>
      </c>
      <c r="H33" s="53">
        <f t="shared" si="2"/>
        <v>98.75596248686232</v>
      </c>
      <c r="I33" s="53">
        <f t="shared" si="3"/>
        <v>98.75596248686232</v>
      </c>
      <c r="J33" s="53">
        <f t="shared" si="4"/>
        <v>104.30013673628397</v>
      </c>
    </row>
    <row r="34" spans="1:10" ht="15" customHeight="1">
      <c r="A34" s="55" t="s">
        <v>24</v>
      </c>
      <c r="B34" s="58"/>
      <c r="C34" s="58"/>
      <c r="D34" s="55"/>
      <c r="E34" s="55"/>
      <c r="F34" s="55"/>
      <c r="G34" s="43"/>
      <c r="H34" s="58"/>
      <c r="I34" s="58"/>
      <c r="J34" s="58"/>
    </row>
    <row r="35" spans="1:10" ht="15" customHeight="1">
      <c r="A35" s="55" t="s">
        <v>15</v>
      </c>
      <c r="B35" s="56">
        <f aca="true" t="shared" si="5" ref="B35:E36">+B20</f>
        <v>4129448</v>
      </c>
      <c r="C35" s="56">
        <f t="shared" si="5"/>
        <v>4129448</v>
      </c>
      <c r="D35" s="56">
        <f t="shared" si="5"/>
        <v>3926901</v>
      </c>
      <c r="E35" s="56">
        <f t="shared" si="5"/>
        <v>4165740</v>
      </c>
      <c r="F35" s="43">
        <f t="shared" si="0"/>
        <v>36292</v>
      </c>
      <c r="G35" s="43">
        <f t="shared" si="1"/>
        <v>36292</v>
      </c>
      <c r="H35" s="44">
        <f t="shared" si="2"/>
        <v>100.87885838494637</v>
      </c>
      <c r="I35" s="44">
        <f t="shared" si="3"/>
        <v>100.87885838494637</v>
      </c>
      <c r="J35" s="44">
        <f t="shared" si="4"/>
        <v>106.082124301071</v>
      </c>
    </row>
    <row r="36" spans="1:10" ht="15" customHeight="1">
      <c r="A36" s="55" t="s">
        <v>16</v>
      </c>
      <c r="B36" s="56">
        <f t="shared" si="5"/>
        <v>212060</v>
      </c>
      <c r="C36" s="56">
        <f t="shared" si="5"/>
        <v>212060</v>
      </c>
      <c r="D36" s="56">
        <f t="shared" si="5"/>
        <v>172515</v>
      </c>
      <c r="E36" s="56">
        <f t="shared" si="5"/>
        <v>128032</v>
      </c>
      <c r="F36" s="43">
        <f t="shared" si="0"/>
        <v>-84028</v>
      </c>
      <c r="G36" s="43">
        <f t="shared" si="1"/>
        <v>-84028</v>
      </c>
      <c r="H36" s="44">
        <f t="shared" si="2"/>
        <v>60.375365462604925</v>
      </c>
      <c r="I36" s="44">
        <f t="shared" si="3"/>
        <v>60.375365462604925</v>
      </c>
      <c r="J36" s="44">
        <f t="shared" si="4"/>
        <v>74.21499579746688</v>
      </c>
    </row>
    <row r="37" spans="1:10" ht="15" customHeight="1">
      <c r="A37" s="55" t="s">
        <v>22</v>
      </c>
      <c r="B37" s="56">
        <f>+B28</f>
        <v>724390</v>
      </c>
      <c r="C37" s="56">
        <f>+C28</f>
        <v>724390</v>
      </c>
      <c r="D37" s="56">
        <f>+D28</f>
        <v>689217</v>
      </c>
      <c r="E37" s="56">
        <f>+E28</f>
        <v>722918</v>
      </c>
      <c r="F37" s="43">
        <f t="shared" si="0"/>
        <v>-1472</v>
      </c>
      <c r="G37" s="43">
        <f t="shared" si="1"/>
        <v>-1472</v>
      </c>
      <c r="H37" s="44">
        <f t="shared" si="2"/>
        <v>99.79679454437527</v>
      </c>
      <c r="I37" s="44">
        <f t="shared" si="3"/>
        <v>99.79679454437527</v>
      </c>
      <c r="J37" s="44">
        <f t="shared" si="4"/>
        <v>104.88975170374498</v>
      </c>
    </row>
    <row r="38" spans="1:10" ht="15" customHeight="1">
      <c r="A38" s="55" t="s">
        <v>17</v>
      </c>
      <c r="B38" s="56">
        <f aca="true" t="shared" si="6" ref="B38:E41">+B22+B29</f>
        <v>544123</v>
      </c>
      <c r="C38" s="56">
        <f t="shared" si="6"/>
        <v>544123</v>
      </c>
      <c r="D38" s="56">
        <f t="shared" si="6"/>
        <v>516662</v>
      </c>
      <c r="E38" s="56">
        <f t="shared" si="6"/>
        <v>533844</v>
      </c>
      <c r="F38" s="43">
        <f t="shared" si="0"/>
        <v>-10279</v>
      </c>
      <c r="G38" s="43">
        <f t="shared" si="1"/>
        <v>-10279</v>
      </c>
      <c r="H38" s="44">
        <f t="shared" si="2"/>
        <v>98.11090507109606</v>
      </c>
      <c r="I38" s="44">
        <f t="shared" si="3"/>
        <v>98.11090507109606</v>
      </c>
      <c r="J38" s="44">
        <f t="shared" si="4"/>
        <v>103.32557842457932</v>
      </c>
    </row>
    <row r="39" spans="1:10" ht="15" customHeight="1">
      <c r="A39" s="55" t="s">
        <v>18</v>
      </c>
      <c r="B39" s="56">
        <f t="shared" si="6"/>
        <v>46649</v>
      </c>
      <c r="C39" s="56">
        <f t="shared" si="6"/>
        <v>46649</v>
      </c>
      <c r="D39" s="56">
        <f t="shared" si="6"/>
        <v>42394</v>
      </c>
      <c r="E39" s="56">
        <f t="shared" si="6"/>
        <v>46169</v>
      </c>
      <c r="F39" s="43">
        <f t="shared" si="0"/>
        <v>-480</v>
      </c>
      <c r="G39" s="43">
        <f t="shared" si="1"/>
        <v>-480</v>
      </c>
      <c r="H39" s="44">
        <f t="shared" si="2"/>
        <v>98.97103903620656</v>
      </c>
      <c r="I39" s="44">
        <f t="shared" si="3"/>
        <v>98.97103903620656</v>
      </c>
      <c r="J39" s="44">
        <f t="shared" si="4"/>
        <v>108.904561966316</v>
      </c>
    </row>
    <row r="40" spans="1:10" ht="15" customHeight="1">
      <c r="A40" s="55" t="s">
        <v>19</v>
      </c>
      <c r="B40" s="56">
        <f t="shared" si="6"/>
        <v>47990</v>
      </c>
      <c r="C40" s="56">
        <f t="shared" si="6"/>
        <v>47990</v>
      </c>
      <c r="D40" s="56">
        <f t="shared" si="6"/>
        <v>43057</v>
      </c>
      <c r="E40" s="56">
        <f t="shared" si="6"/>
        <v>42801</v>
      </c>
      <c r="F40" s="43">
        <f t="shared" si="0"/>
        <v>-5189</v>
      </c>
      <c r="G40" s="43">
        <f t="shared" si="1"/>
        <v>-5189</v>
      </c>
      <c r="H40" s="44">
        <f t="shared" si="2"/>
        <v>89.18733069389457</v>
      </c>
      <c r="I40" s="44">
        <f t="shared" si="3"/>
        <v>89.18733069389457</v>
      </c>
      <c r="J40" s="44">
        <f t="shared" si="4"/>
        <v>99.40543930139117</v>
      </c>
    </row>
    <row r="41" spans="1:10" ht="15" customHeight="1">
      <c r="A41" s="55" t="s">
        <v>20</v>
      </c>
      <c r="B41" s="56">
        <f t="shared" si="6"/>
        <v>0</v>
      </c>
      <c r="C41" s="56">
        <f t="shared" si="6"/>
        <v>0</v>
      </c>
      <c r="D41" s="56">
        <f t="shared" si="6"/>
        <v>333</v>
      </c>
      <c r="E41" s="56">
        <f t="shared" si="6"/>
        <v>326</v>
      </c>
      <c r="F41" s="43">
        <f t="shared" si="0"/>
        <v>326</v>
      </c>
      <c r="G41" s="43">
        <f t="shared" si="1"/>
        <v>326</v>
      </c>
      <c r="H41" s="44">
        <v>0</v>
      </c>
      <c r="I41" s="44">
        <v>0</v>
      </c>
      <c r="J41" s="44">
        <f t="shared" si="4"/>
        <v>97.8978978978979</v>
      </c>
    </row>
    <row r="42" spans="1:10" ht="15" customHeight="1">
      <c r="A42" s="59" t="s">
        <v>25</v>
      </c>
      <c r="B42" s="60">
        <f>SUM(B35:B41)</f>
        <v>5704660</v>
      </c>
      <c r="C42" s="60">
        <f>SUM(C35:C41)</f>
        <v>5704660</v>
      </c>
      <c r="D42" s="60">
        <f>SUM(D35:D41)</f>
        <v>5391079</v>
      </c>
      <c r="E42" s="60">
        <f>SUM(E35:E41)</f>
        <v>5639830</v>
      </c>
      <c r="F42" s="52">
        <f t="shared" si="0"/>
        <v>-64830</v>
      </c>
      <c r="G42" s="52">
        <f t="shared" si="1"/>
        <v>-64830</v>
      </c>
      <c r="H42" s="53">
        <f t="shared" si="2"/>
        <v>98.86356066794515</v>
      </c>
      <c r="I42" s="53">
        <f t="shared" si="3"/>
        <v>98.86356066794515</v>
      </c>
      <c r="J42" s="53">
        <f t="shared" si="4"/>
        <v>104.61412270159647</v>
      </c>
    </row>
    <row r="43" spans="1:10" ht="15" customHeight="1">
      <c r="A43" s="55" t="s">
        <v>26</v>
      </c>
      <c r="B43" s="55"/>
      <c r="C43" s="55"/>
      <c r="D43" s="55"/>
      <c r="E43" s="55"/>
      <c r="F43" s="58"/>
      <c r="G43" s="43"/>
      <c r="H43" s="55"/>
      <c r="I43" s="55"/>
      <c r="J43" s="55"/>
    </row>
    <row r="44" spans="1:10" ht="15" customHeight="1">
      <c r="A44" s="58" t="s">
        <v>27</v>
      </c>
      <c r="B44" s="58">
        <v>3291</v>
      </c>
      <c r="C44" s="58">
        <v>3291</v>
      </c>
      <c r="D44" s="56">
        <v>3121</v>
      </c>
      <c r="E44" s="56">
        <v>3378</v>
      </c>
      <c r="F44" s="43">
        <f t="shared" si="0"/>
        <v>87</v>
      </c>
      <c r="G44" s="43">
        <f t="shared" si="1"/>
        <v>87</v>
      </c>
      <c r="H44" s="44">
        <f t="shared" si="2"/>
        <v>102.64357338195079</v>
      </c>
      <c r="I44" s="44">
        <f t="shared" si="3"/>
        <v>102.64357338195079</v>
      </c>
      <c r="J44" s="44">
        <f t="shared" si="4"/>
        <v>108.23454021147067</v>
      </c>
    </row>
    <row r="45" spans="1:10" ht="15" customHeight="1">
      <c r="A45" s="58" t="s">
        <v>28</v>
      </c>
      <c r="B45" s="58">
        <v>23863</v>
      </c>
      <c r="C45" s="58">
        <v>23863</v>
      </c>
      <c r="D45" s="56">
        <v>21891</v>
      </c>
      <c r="E45" s="56">
        <v>22277</v>
      </c>
      <c r="F45" s="43">
        <f t="shared" si="0"/>
        <v>-1586</v>
      </c>
      <c r="G45" s="43">
        <f t="shared" si="1"/>
        <v>-1586</v>
      </c>
      <c r="H45" s="44">
        <f t="shared" si="2"/>
        <v>93.35372752797217</v>
      </c>
      <c r="I45" s="44">
        <f t="shared" si="3"/>
        <v>93.35372752797217</v>
      </c>
      <c r="J45" s="44">
        <f t="shared" si="4"/>
        <v>101.76328171394637</v>
      </c>
    </row>
    <row r="46" spans="1:10" ht="15" customHeight="1">
      <c r="A46" s="58" t="s">
        <v>29</v>
      </c>
      <c r="B46" s="58">
        <v>432</v>
      </c>
      <c r="C46" s="58">
        <v>432</v>
      </c>
      <c r="D46" s="56">
        <v>271</v>
      </c>
      <c r="E46" s="56">
        <v>242</v>
      </c>
      <c r="F46" s="43">
        <f t="shared" si="0"/>
        <v>-190</v>
      </c>
      <c r="G46" s="43">
        <f t="shared" si="1"/>
        <v>-190</v>
      </c>
      <c r="H46" s="44">
        <f t="shared" si="2"/>
        <v>56.018518518518526</v>
      </c>
      <c r="I46" s="44">
        <f t="shared" si="3"/>
        <v>56.018518518518526</v>
      </c>
      <c r="J46" s="44">
        <f t="shared" si="4"/>
        <v>89.2988929889299</v>
      </c>
    </row>
    <row r="47" spans="1:10" ht="15" customHeight="1">
      <c r="A47" s="61" t="s">
        <v>30</v>
      </c>
      <c r="B47" s="61">
        <v>363</v>
      </c>
      <c r="C47" s="61">
        <v>363</v>
      </c>
      <c r="D47" s="56">
        <v>319</v>
      </c>
      <c r="E47" s="56">
        <v>328</v>
      </c>
      <c r="F47" s="43">
        <f t="shared" si="0"/>
        <v>-35</v>
      </c>
      <c r="G47" s="43">
        <f t="shared" si="1"/>
        <v>-35</v>
      </c>
      <c r="H47" s="44">
        <f t="shared" si="2"/>
        <v>90.35812672176309</v>
      </c>
      <c r="I47" s="44">
        <f t="shared" si="3"/>
        <v>90.35812672176309</v>
      </c>
      <c r="J47" s="44">
        <f t="shared" si="4"/>
        <v>102.82131661442007</v>
      </c>
    </row>
    <row r="48" spans="1:10" ht="15" customHeight="1">
      <c r="A48" s="61" t="s">
        <v>31</v>
      </c>
      <c r="B48" s="61">
        <v>595</v>
      </c>
      <c r="C48" s="61">
        <v>595</v>
      </c>
      <c r="D48" s="56">
        <v>617</v>
      </c>
      <c r="E48" s="56">
        <v>690</v>
      </c>
      <c r="F48" s="43">
        <f t="shared" si="0"/>
        <v>95</v>
      </c>
      <c r="G48" s="43">
        <f t="shared" si="1"/>
        <v>95</v>
      </c>
      <c r="H48" s="44">
        <f t="shared" si="2"/>
        <v>115.96638655462186</v>
      </c>
      <c r="I48" s="44">
        <f t="shared" si="3"/>
        <v>115.96638655462186</v>
      </c>
      <c r="J48" s="44">
        <f t="shared" si="4"/>
        <v>111.83144246353322</v>
      </c>
    </row>
    <row r="49" spans="1:10" ht="15" customHeight="1">
      <c r="A49" s="61" t="s">
        <v>32</v>
      </c>
      <c r="B49" s="61">
        <v>0</v>
      </c>
      <c r="C49" s="61">
        <v>0</v>
      </c>
      <c r="D49" s="56">
        <v>0</v>
      </c>
      <c r="E49" s="56">
        <v>0</v>
      </c>
      <c r="F49" s="43">
        <f t="shared" si="0"/>
        <v>0</v>
      </c>
      <c r="G49" s="43">
        <f t="shared" si="1"/>
        <v>0</v>
      </c>
      <c r="H49" s="43">
        <f>+F49-D49</f>
        <v>0</v>
      </c>
      <c r="I49" s="43">
        <f>+G49-E49</f>
        <v>0</v>
      </c>
      <c r="J49" s="43">
        <f>+H49-F49</f>
        <v>0</v>
      </c>
    </row>
    <row r="50" spans="1:10" ht="15" customHeight="1">
      <c r="A50" s="55" t="s">
        <v>33</v>
      </c>
      <c r="B50" s="58">
        <v>0</v>
      </c>
      <c r="C50" s="58">
        <v>0</v>
      </c>
      <c r="D50" s="56">
        <v>0</v>
      </c>
      <c r="E50" s="56">
        <v>0</v>
      </c>
      <c r="F50" s="43">
        <f t="shared" si="0"/>
        <v>0</v>
      </c>
      <c r="G50" s="43">
        <f t="shared" si="1"/>
        <v>0</v>
      </c>
      <c r="H50" s="43">
        <f>+F50-D50</f>
        <v>0</v>
      </c>
      <c r="I50" s="43">
        <f>+G50-E50</f>
        <v>0</v>
      </c>
      <c r="J50" s="43">
        <f>+H50-F50</f>
        <v>0</v>
      </c>
    </row>
    <row r="51" spans="1:10" s="64" customFormat="1" ht="31.5" customHeight="1">
      <c r="A51" s="62" t="s">
        <v>34</v>
      </c>
      <c r="B51" s="62">
        <v>15010</v>
      </c>
      <c r="C51" s="62">
        <v>15010</v>
      </c>
      <c r="D51" s="63">
        <v>13353</v>
      </c>
      <c r="E51" s="63">
        <v>13536</v>
      </c>
      <c r="F51" s="48">
        <f t="shared" si="0"/>
        <v>-1474</v>
      </c>
      <c r="G51" s="43">
        <f t="shared" si="1"/>
        <v>-1474</v>
      </c>
      <c r="H51" s="48">
        <f t="shared" si="2"/>
        <v>90.17988007994671</v>
      </c>
      <c r="I51" s="48">
        <f t="shared" si="3"/>
        <v>90.17988007994671</v>
      </c>
      <c r="J51" s="48">
        <f t="shared" si="4"/>
        <v>101.37047854414737</v>
      </c>
    </row>
    <row r="52" spans="1:10" ht="15" customHeight="1">
      <c r="A52" s="55" t="s">
        <v>35</v>
      </c>
      <c r="B52" s="58">
        <v>118</v>
      </c>
      <c r="C52" s="58">
        <v>118</v>
      </c>
      <c r="D52" s="56">
        <v>101</v>
      </c>
      <c r="E52" s="56">
        <v>106</v>
      </c>
      <c r="F52" s="43">
        <f t="shared" si="0"/>
        <v>-12</v>
      </c>
      <c r="G52" s="43">
        <f t="shared" si="1"/>
        <v>-12</v>
      </c>
      <c r="H52" s="44">
        <f t="shared" si="2"/>
        <v>89.83050847457628</v>
      </c>
      <c r="I52" s="44">
        <f t="shared" si="3"/>
        <v>89.83050847457628</v>
      </c>
      <c r="J52" s="44">
        <f t="shared" si="4"/>
        <v>104.95049504950495</v>
      </c>
    </row>
    <row r="53" spans="1:10" ht="15" customHeight="1">
      <c r="A53" s="55" t="s">
        <v>36</v>
      </c>
      <c r="B53" s="58">
        <v>100</v>
      </c>
      <c r="C53" s="58">
        <v>100</v>
      </c>
      <c r="D53" s="56">
        <v>72</v>
      </c>
      <c r="E53" s="56">
        <v>80</v>
      </c>
      <c r="F53" s="43">
        <f t="shared" si="0"/>
        <v>-20</v>
      </c>
      <c r="G53" s="43">
        <f t="shared" si="1"/>
        <v>-20</v>
      </c>
      <c r="H53" s="44">
        <f t="shared" si="2"/>
        <v>80</v>
      </c>
      <c r="I53" s="44">
        <f t="shared" si="3"/>
        <v>80</v>
      </c>
      <c r="J53" s="44">
        <f t="shared" si="4"/>
        <v>111.11111111111111</v>
      </c>
    </row>
    <row r="54" spans="1:10" ht="15" customHeight="1">
      <c r="A54" s="55" t="s">
        <v>37</v>
      </c>
      <c r="B54" s="58">
        <v>1579</v>
      </c>
      <c r="C54" s="58">
        <v>1579</v>
      </c>
      <c r="D54" s="56">
        <v>1120</v>
      </c>
      <c r="E54" s="56">
        <v>398</v>
      </c>
      <c r="F54" s="43">
        <f t="shared" si="0"/>
        <v>-1181</v>
      </c>
      <c r="G54" s="43">
        <f t="shared" si="1"/>
        <v>-1181</v>
      </c>
      <c r="H54" s="44">
        <f t="shared" si="2"/>
        <v>25.20582647245092</v>
      </c>
      <c r="I54" s="44">
        <f t="shared" si="3"/>
        <v>25.20582647245092</v>
      </c>
      <c r="J54" s="44">
        <f t="shared" si="4"/>
        <v>35.535714285714285</v>
      </c>
    </row>
    <row r="55" spans="1:10" ht="15" customHeight="1">
      <c r="A55" s="55" t="s">
        <v>38</v>
      </c>
      <c r="B55" s="58">
        <v>0</v>
      </c>
      <c r="C55" s="58">
        <v>0</v>
      </c>
      <c r="D55" s="65">
        <v>-111</v>
      </c>
      <c r="E55" s="65">
        <v>-125</v>
      </c>
      <c r="F55" s="43">
        <f t="shared" si="0"/>
        <v>-125</v>
      </c>
      <c r="G55" s="43">
        <f t="shared" si="1"/>
        <v>-125</v>
      </c>
      <c r="H55" s="44">
        <v>0</v>
      </c>
      <c r="I55" s="44">
        <v>0</v>
      </c>
      <c r="J55" s="44">
        <f t="shared" si="4"/>
        <v>112.61261261261262</v>
      </c>
    </row>
    <row r="56" spans="1:10" ht="15" customHeight="1">
      <c r="A56" s="66" t="s">
        <v>39</v>
      </c>
      <c r="B56" s="58">
        <v>2325</v>
      </c>
      <c r="C56" s="58">
        <v>2325</v>
      </c>
      <c r="D56" s="67">
        <v>2230</v>
      </c>
      <c r="E56" s="67">
        <v>2306</v>
      </c>
      <c r="F56" s="43">
        <f t="shared" si="0"/>
        <v>-19</v>
      </c>
      <c r="G56" s="43">
        <f t="shared" si="1"/>
        <v>-19</v>
      </c>
      <c r="H56" s="44">
        <f t="shared" si="2"/>
        <v>99.18279569892474</v>
      </c>
      <c r="I56" s="44">
        <f t="shared" si="3"/>
        <v>99.18279569892474</v>
      </c>
      <c r="J56" s="44">
        <f t="shared" si="4"/>
        <v>103.40807174887891</v>
      </c>
    </row>
    <row r="57" spans="1:10" ht="15" customHeight="1">
      <c r="A57" s="66" t="s">
        <v>25</v>
      </c>
      <c r="B57" s="60">
        <f>+B44+B45+B46+B47+B48+B49+B50+B51+B52+B53+B54+B55+B56</f>
        <v>47676</v>
      </c>
      <c r="C57" s="60">
        <f>+C44+C45+C46+C47+C48+C49+C50+C51+C52+C53+C54+C55+C56</f>
        <v>47676</v>
      </c>
      <c r="D57" s="60">
        <f>+D44+D45+D46+D47+D48+D49+D50+D51+D52+D53+D54+D55+D56</f>
        <v>42984</v>
      </c>
      <c r="E57" s="60">
        <f>+E44+E45+E46+E47+E48+E49+E50+E51+E52+E53+E54+E55+E56</f>
        <v>43216</v>
      </c>
      <c r="F57" s="52">
        <f t="shared" si="0"/>
        <v>-4460</v>
      </c>
      <c r="G57" s="52">
        <f t="shared" si="1"/>
        <v>-4460</v>
      </c>
      <c r="H57" s="53">
        <f t="shared" si="2"/>
        <v>90.64518835472775</v>
      </c>
      <c r="I57" s="53">
        <f t="shared" si="3"/>
        <v>90.64518835472775</v>
      </c>
      <c r="J57" s="53">
        <f t="shared" si="4"/>
        <v>100.53973571561512</v>
      </c>
    </row>
    <row r="58" spans="1:10" ht="15" customHeight="1">
      <c r="A58" s="68" t="s">
        <v>40</v>
      </c>
      <c r="B58" s="58"/>
      <c r="C58" s="58"/>
      <c r="D58" s="58"/>
      <c r="E58" s="58"/>
      <c r="F58" s="58"/>
      <c r="G58" s="43"/>
      <c r="H58" s="69"/>
      <c r="I58" s="69"/>
      <c r="J58" s="70"/>
    </row>
    <row r="59" spans="1:10" ht="15" customHeight="1">
      <c r="A59" s="71" t="s">
        <v>41</v>
      </c>
      <c r="B59" s="72">
        <v>2349</v>
      </c>
      <c r="C59" s="72">
        <v>2349</v>
      </c>
      <c r="D59" s="72">
        <v>6888</v>
      </c>
      <c r="E59" s="72">
        <v>6674</v>
      </c>
      <c r="F59" s="43">
        <f t="shared" si="0"/>
        <v>4325</v>
      </c>
      <c r="G59" s="43">
        <f t="shared" si="1"/>
        <v>4325</v>
      </c>
      <c r="H59" s="44">
        <f t="shared" si="2"/>
        <v>284.12090251170713</v>
      </c>
      <c r="I59" s="44">
        <f t="shared" si="3"/>
        <v>284.12090251170713</v>
      </c>
      <c r="J59" s="44">
        <f t="shared" si="4"/>
        <v>96.8931475029036</v>
      </c>
    </row>
    <row r="60" spans="1:10" ht="15" customHeight="1">
      <c r="A60" s="73" t="s">
        <v>42</v>
      </c>
      <c r="B60" s="74">
        <v>38724</v>
      </c>
      <c r="C60" s="74">
        <v>38724</v>
      </c>
      <c r="D60" s="74">
        <v>30674</v>
      </c>
      <c r="E60" s="74">
        <v>26803</v>
      </c>
      <c r="F60" s="43">
        <f t="shared" si="0"/>
        <v>-11921</v>
      </c>
      <c r="G60" s="43">
        <f t="shared" si="1"/>
        <v>-11921</v>
      </c>
      <c r="H60" s="44">
        <f t="shared" si="2"/>
        <v>69.21547360809834</v>
      </c>
      <c r="I60" s="44">
        <f t="shared" si="3"/>
        <v>69.21547360809834</v>
      </c>
      <c r="J60" s="44">
        <f t="shared" si="4"/>
        <v>87.38019169329073</v>
      </c>
    </row>
    <row r="61" spans="1:10" ht="15" customHeight="1">
      <c r="A61" s="75" t="s">
        <v>43</v>
      </c>
      <c r="B61" s="76">
        <f>+B59+B60</f>
        <v>41073</v>
      </c>
      <c r="C61" s="76">
        <f>+C59+C60</f>
        <v>41073</v>
      </c>
      <c r="D61" s="76">
        <v>36803</v>
      </c>
      <c r="E61" s="76">
        <f>+E59+E60</f>
        <v>33477</v>
      </c>
      <c r="F61" s="52">
        <f t="shared" si="0"/>
        <v>-7596</v>
      </c>
      <c r="G61" s="52">
        <f t="shared" si="1"/>
        <v>-7596</v>
      </c>
      <c r="H61" s="53">
        <f t="shared" si="2"/>
        <v>81.50609889708568</v>
      </c>
      <c r="I61" s="53">
        <f t="shared" si="3"/>
        <v>81.50609889708568</v>
      </c>
      <c r="J61" s="53">
        <f t="shared" si="4"/>
        <v>90.96269325870173</v>
      </c>
    </row>
    <row r="62" spans="1:10" ht="18" customHeight="1">
      <c r="A62" s="55" t="s">
        <v>44</v>
      </c>
      <c r="B62" s="55"/>
      <c r="C62" s="55"/>
      <c r="D62" s="55"/>
      <c r="E62" s="55"/>
      <c r="F62" s="55"/>
      <c r="G62" s="43"/>
      <c r="H62" s="69"/>
      <c r="I62" s="69"/>
      <c r="J62" s="70"/>
    </row>
    <row r="63" spans="1:10" ht="14.25" customHeight="1">
      <c r="A63" s="77" t="s">
        <v>45</v>
      </c>
      <c r="B63" s="58">
        <v>170171</v>
      </c>
      <c r="C63" s="58">
        <v>169905</v>
      </c>
      <c r="D63" s="58">
        <v>163513</v>
      </c>
      <c r="E63" s="58">
        <v>175827</v>
      </c>
      <c r="F63" s="43">
        <f t="shared" si="0"/>
        <v>5656</v>
      </c>
      <c r="G63" s="43">
        <f t="shared" si="1"/>
        <v>5922</v>
      </c>
      <c r="H63" s="44">
        <f t="shared" si="2"/>
        <v>103.32371555670473</v>
      </c>
      <c r="I63" s="44">
        <f t="shared" si="3"/>
        <v>103.48547717842325</v>
      </c>
      <c r="J63" s="44">
        <f t="shared" si="4"/>
        <v>107.5308996838172</v>
      </c>
    </row>
    <row r="64" spans="1:10" ht="15" customHeight="1">
      <c r="A64" s="77" t="s">
        <v>46</v>
      </c>
      <c r="B64" s="58">
        <v>0</v>
      </c>
      <c r="C64" s="58">
        <v>0</v>
      </c>
      <c r="D64" s="58">
        <v>-216</v>
      </c>
      <c r="E64" s="58">
        <v>-201</v>
      </c>
      <c r="F64" s="43">
        <f t="shared" si="0"/>
        <v>-201</v>
      </c>
      <c r="G64" s="43">
        <f t="shared" si="1"/>
        <v>-201</v>
      </c>
      <c r="H64" s="44">
        <v>0</v>
      </c>
      <c r="I64" s="44">
        <v>0</v>
      </c>
      <c r="J64" s="44">
        <f t="shared" si="4"/>
        <v>93.05555555555556</v>
      </c>
    </row>
    <row r="65" spans="1:10" ht="15" customHeight="1">
      <c r="A65" s="77" t="s">
        <v>47</v>
      </c>
      <c r="B65" s="58">
        <v>0</v>
      </c>
      <c r="C65" s="58">
        <v>0</v>
      </c>
      <c r="D65" s="58">
        <f>196-159</f>
        <v>37</v>
      </c>
      <c r="E65" s="58">
        <v>147</v>
      </c>
      <c r="F65" s="43">
        <f t="shared" si="0"/>
        <v>147</v>
      </c>
      <c r="G65" s="43">
        <f t="shared" si="1"/>
        <v>147</v>
      </c>
      <c r="H65" s="44">
        <v>0</v>
      </c>
      <c r="I65" s="44">
        <v>0</v>
      </c>
      <c r="J65" s="44">
        <f t="shared" si="4"/>
        <v>397.2972972972973</v>
      </c>
    </row>
    <row r="66" spans="1:10" ht="17.25" customHeight="1">
      <c r="A66" s="78" t="s">
        <v>25</v>
      </c>
      <c r="B66" s="60">
        <f>SUM(B63:B65)</f>
        <v>170171</v>
      </c>
      <c r="C66" s="60">
        <f>SUM(C63:C65)</f>
        <v>169905</v>
      </c>
      <c r="D66" s="60">
        <f>SUM(D63:D65)</f>
        <v>163334</v>
      </c>
      <c r="E66" s="60">
        <f>SUM(E63:E65)</f>
        <v>175773</v>
      </c>
      <c r="F66" s="52">
        <f t="shared" si="0"/>
        <v>5602</v>
      </c>
      <c r="G66" s="52">
        <f t="shared" si="1"/>
        <v>5868</v>
      </c>
      <c r="H66" s="53">
        <f t="shared" si="2"/>
        <v>103.29198277027226</v>
      </c>
      <c r="I66" s="53">
        <f t="shared" si="3"/>
        <v>103.45369471175067</v>
      </c>
      <c r="J66" s="53">
        <f t="shared" si="4"/>
        <v>107.61568320129307</v>
      </c>
    </row>
    <row r="68" ht="15" customHeight="1">
      <c r="E68" s="79"/>
    </row>
    <row r="69" ht="15" customHeight="1">
      <c r="A69" s="12"/>
    </row>
    <row r="70" ht="15" customHeight="1">
      <c r="A70" s="12"/>
    </row>
  </sheetData>
  <sheetProtection/>
  <printOptions horizontalCentered="1"/>
  <pageMargins left="0.3937007874015748" right="0.3937007874015748" top="0.5905511811023623" bottom="0.5905511811023623" header="0.5118110236220472" footer="0.5118110236220472"/>
  <pageSetup fitToHeight="1" fitToWidth="1" horizontalDpi="600" verticalDpi="600" orientation="portrait" paperSize="9" scale="58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6:R25"/>
  <sheetViews>
    <sheetView zoomScalePageLayoutView="0" workbookViewId="0" topLeftCell="A1">
      <selection activeCell="A64" sqref="A64"/>
    </sheetView>
  </sheetViews>
  <sheetFormatPr defaultColWidth="7.8515625" defaultRowHeight="12.75"/>
  <cols>
    <col min="1" max="1" width="44.57421875" style="17" customWidth="1"/>
    <col min="2" max="13" width="12.28125" style="17" customWidth="1"/>
    <col min="14" max="14" width="15.00390625" style="17" customWidth="1"/>
    <col min="15" max="15" width="13.421875" style="17" customWidth="1"/>
    <col min="16" max="16" width="11.28125" style="17" customWidth="1"/>
    <col min="17" max="16384" width="7.8515625" style="17" customWidth="1"/>
  </cols>
  <sheetData>
    <row r="6" ht="19.5" customHeight="1">
      <c r="A6" s="17" t="s">
        <v>76</v>
      </c>
    </row>
    <row r="7" ht="15">
      <c r="N7" s="18" t="s">
        <v>3</v>
      </c>
    </row>
    <row r="8" spans="1:14" ht="44.25" customHeight="1">
      <c r="A8" s="19" t="s">
        <v>1</v>
      </c>
      <c r="B8" s="20" t="s">
        <v>78</v>
      </c>
      <c r="C8" s="20" t="s">
        <v>79</v>
      </c>
      <c r="D8" s="20" t="s">
        <v>80</v>
      </c>
      <c r="E8" s="20" t="s">
        <v>81</v>
      </c>
      <c r="F8" s="20" t="s">
        <v>82</v>
      </c>
      <c r="G8" s="20" t="s">
        <v>83</v>
      </c>
      <c r="H8" s="20" t="s">
        <v>84</v>
      </c>
      <c r="I8" s="20" t="s">
        <v>85</v>
      </c>
      <c r="J8" s="20" t="s">
        <v>86</v>
      </c>
      <c r="K8" s="20" t="s">
        <v>96</v>
      </c>
      <c r="L8" s="20" t="s">
        <v>97</v>
      </c>
      <c r="M8" s="20" t="s">
        <v>155</v>
      </c>
      <c r="N8" s="20" t="s">
        <v>166</v>
      </c>
    </row>
    <row r="9" spans="1:15" ht="22.5" customHeight="1">
      <c r="A9" s="21" t="s">
        <v>48</v>
      </c>
      <c r="B9" s="22">
        <f aca="true" t="shared" si="0" ref="B9:K9">+B11+B12+B13+B14+B15+B16+B17+B18</f>
        <v>501198</v>
      </c>
      <c r="C9" s="22">
        <f t="shared" si="0"/>
        <v>541583</v>
      </c>
      <c r="D9" s="22">
        <f t="shared" si="0"/>
        <v>573953</v>
      </c>
      <c r="E9" s="22">
        <f t="shared" si="0"/>
        <v>529942</v>
      </c>
      <c r="F9" s="22">
        <f t="shared" si="0"/>
        <v>510948</v>
      </c>
      <c r="G9" s="22">
        <f t="shared" si="0"/>
        <v>557531</v>
      </c>
      <c r="H9" s="22">
        <f t="shared" si="0"/>
        <v>494413</v>
      </c>
      <c r="I9" s="22">
        <f t="shared" si="0"/>
        <v>561997</v>
      </c>
      <c r="J9" s="22">
        <f t="shared" si="0"/>
        <v>497611</v>
      </c>
      <c r="K9" s="22">
        <f t="shared" si="0"/>
        <v>577340</v>
      </c>
      <c r="L9" s="22">
        <f>+L11+L12+L13+L14+L15+L16+L17+L18</f>
        <v>541478</v>
      </c>
      <c r="M9" s="22">
        <f>+M11+M12+M13+M14+M15+M16+M17+M18</f>
        <v>545099</v>
      </c>
      <c r="N9" s="22">
        <f>SUM(B9:M9)</f>
        <v>6433093</v>
      </c>
      <c r="O9" s="23"/>
    </row>
    <row r="10" spans="1:14" ht="22.5" customHeight="1">
      <c r="A10" s="21" t="s">
        <v>2</v>
      </c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</row>
    <row r="11" spans="1:16" ht="22.5" customHeight="1">
      <c r="A11" s="21" t="s">
        <v>49</v>
      </c>
      <c r="B11" s="22">
        <v>36253</v>
      </c>
      <c r="C11" s="22">
        <v>39972</v>
      </c>
      <c r="D11" s="22">
        <v>40288</v>
      </c>
      <c r="E11" s="22">
        <v>39837</v>
      </c>
      <c r="F11" s="22">
        <v>35139</v>
      </c>
      <c r="G11" s="22">
        <v>34492</v>
      </c>
      <c r="H11" s="22">
        <v>32434</v>
      </c>
      <c r="I11" s="22">
        <v>32937</v>
      </c>
      <c r="J11" s="22">
        <v>32886</v>
      </c>
      <c r="K11" s="22">
        <v>32465</v>
      </c>
      <c r="L11" s="22">
        <v>35534</v>
      </c>
      <c r="M11" s="22">
        <v>35923</v>
      </c>
      <c r="N11" s="22">
        <f aca="true" t="shared" si="1" ref="N11:N20">SUM(B11:M11)</f>
        <v>428160</v>
      </c>
      <c r="O11" s="23"/>
      <c r="P11" s="24"/>
    </row>
    <row r="12" spans="1:16" ht="22.5" customHeight="1">
      <c r="A12" s="21" t="s">
        <v>50</v>
      </c>
      <c r="B12" s="22">
        <v>367612</v>
      </c>
      <c r="C12" s="22">
        <v>398512</v>
      </c>
      <c r="D12" s="22">
        <v>420524</v>
      </c>
      <c r="E12" s="22">
        <v>386273</v>
      </c>
      <c r="F12" s="22">
        <v>378037</v>
      </c>
      <c r="G12" s="22">
        <v>417107</v>
      </c>
      <c r="H12" s="22">
        <v>363897</v>
      </c>
      <c r="I12" s="22">
        <v>423630</v>
      </c>
      <c r="J12" s="22">
        <v>366930</v>
      </c>
      <c r="K12" s="22">
        <v>435938</v>
      </c>
      <c r="L12" s="22">
        <v>402469</v>
      </c>
      <c r="M12" s="22">
        <v>399412</v>
      </c>
      <c r="N12" s="22">
        <f t="shared" si="1"/>
        <v>4760341</v>
      </c>
      <c r="O12" s="23"/>
      <c r="P12" s="24"/>
    </row>
    <row r="13" spans="1:16" ht="22.5" customHeight="1">
      <c r="A13" s="21" t="s">
        <v>51</v>
      </c>
      <c r="B13" s="22">
        <v>68335</v>
      </c>
      <c r="C13" s="22">
        <v>74552</v>
      </c>
      <c r="D13" s="22">
        <v>78769</v>
      </c>
      <c r="E13" s="22">
        <v>72035</v>
      </c>
      <c r="F13" s="22">
        <v>70158</v>
      </c>
      <c r="G13" s="22">
        <v>77238</v>
      </c>
      <c r="H13" s="22">
        <v>66982</v>
      </c>
      <c r="I13" s="22">
        <v>77797</v>
      </c>
      <c r="J13" s="22">
        <v>66905</v>
      </c>
      <c r="K13" s="22">
        <v>79924</v>
      </c>
      <c r="L13" s="22">
        <v>73854</v>
      </c>
      <c r="M13" s="22">
        <v>72940</v>
      </c>
      <c r="N13" s="22">
        <f t="shared" si="1"/>
        <v>879489</v>
      </c>
      <c r="O13" s="25"/>
      <c r="P13" s="24"/>
    </row>
    <row r="14" spans="1:16" ht="22.5" customHeight="1">
      <c r="A14" s="21" t="s">
        <v>52</v>
      </c>
      <c r="B14" s="22">
        <v>3607</v>
      </c>
      <c r="C14" s="22">
        <v>3488</v>
      </c>
      <c r="D14" s="22">
        <v>3711</v>
      </c>
      <c r="E14" s="22">
        <v>3713</v>
      </c>
      <c r="F14" s="22">
        <v>3832</v>
      </c>
      <c r="G14" s="22">
        <v>3679</v>
      </c>
      <c r="H14" s="22">
        <v>3748</v>
      </c>
      <c r="I14" s="22">
        <v>3788</v>
      </c>
      <c r="J14" s="22">
        <v>3453</v>
      </c>
      <c r="K14" s="22">
        <v>3389</v>
      </c>
      <c r="L14" s="22">
        <v>3416</v>
      </c>
      <c r="M14" s="22">
        <v>3392</v>
      </c>
      <c r="N14" s="22">
        <f t="shared" si="1"/>
        <v>43216</v>
      </c>
      <c r="P14" s="24"/>
    </row>
    <row r="15" spans="1:16" ht="22.5" customHeight="1">
      <c r="A15" s="21" t="s">
        <v>53</v>
      </c>
      <c r="B15" s="22">
        <v>2423</v>
      </c>
      <c r="C15" s="22">
        <v>1007</v>
      </c>
      <c r="D15" s="22">
        <v>7610</v>
      </c>
      <c r="E15" s="22">
        <v>3174</v>
      </c>
      <c r="F15" s="22">
        <v>1481</v>
      </c>
      <c r="G15" s="22">
        <v>1992</v>
      </c>
      <c r="H15" s="22">
        <v>4136</v>
      </c>
      <c r="I15" s="22">
        <v>702</v>
      </c>
      <c r="J15" s="22">
        <v>3998</v>
      </c>
      <c r="K15" s="22">
        <v>2675</v>
      </c>
      <c r="L15" s="22">
        <v>2988</v>
      </c>
      <c r="M15" s="22">
        <v>1291</v>
      </c>
      <c r="N15" s="22">
        <f t="shared" si="1"/>
        <v>33477</v>
      </c>
      <c r="P15" s="24"/>
    </row>
    <row r="16" spans="1:16" ht="22.5" customHeight="1">
      <c r="A16" s="21" t="s">
        <v>54</v>
      </c>
      <c r="B16" s="22">
        <v>14361</v>
      </c>
      <c r="C16" s="22">
        <v>15389</v>
      </c>
      <c r="D16" s="22">
        <v>14709</v>
      </c>
      <c r="E16" s="22">
        <v>14921</v>
      </c>
      <c r="F16" s="22">
        <v>13942</v>
      </c>
      <c r="G16" s="22">
        <v>14588</v>
      </c>
      <c r="H16" s="22">
        <v>13842</v>
      </c>
      <c r="I16" s="22">
        <v>14722</v>
      </c>
      <c r="J16" s="22">
        <v>14939</v>
      </c>
      <c r="K16" s="22">
        <v>14246</v>
      </c>
      <c r="L16" s="22">
        <v>14882</v>
      </c>
      <c r="M16" s="22">
        <v>15232</v>
      </c>
      <c r="N16" s="22">
        <f t="shared" si="1"/>
        <v>175773</v>
      </c>
      <c r="P16" s="24"/>
    </row>
    <row r="17" spans="1:16" ht="22.5" customHeight="1">
      <c r="A17" s="21" t="s">
        <v>73</v>
      </c>
      <c r="B17" s="22">
        <v>0</v>
      </c>
      <c r="C17" s="22">
        <v>0</v>
      </c>
      <c r="D17" s="22">
        <v>0</v>
      </c>
      <c r="E17" s="22">
        <v>0</v>
      </c>
      <c r="F17" s="22">
        <v>0</v>
      </c>
      <c r="G17" s="22">
        <v>0</v>
      </c>
      <c r="H17" s="22">
        <v>0</v>
      </c>
      <c r="I17" s="22">
        <v>0</v>
      </c>
      <c r="J17" s="22">
        <v>0</v>
      </c>
      <c r="K17" s="22">
        <v>0</v>
      </c>
      <c r="L17" s="22">
        <v>0</v>
      </c>
      <c r="M17" s="22">
        <v>0</v>
      </c>
      <c r="N17" s="22">
        <f t="shared" si="1"/>
        <v>0</v>
      </c>
      <c r="P17" s="24"/>
    </row>
    <row r="18" spans="1:17" ht="22.5" customHeight="1">
      <c r="A18" s="21" t="s">
        <v>55</v>
      </c>
      <c r="B18" s="22">
        <v>8607</v>
      </c>
      <c r="C18" s="22">
        <f>+C19+C20</f>
        <v>8663</v>
      </c>
      <c r="D18" s="22">
        <v>8342</v>
      </c>
      <c r="E18" s="22">
        <v>9989</v>
      </c>
      <c r="F18" s="22">
        <v>8359</v>
      </c>
      <c r="G18" s="22">
        <v>8435</v>
      </c>
      <c r="H18" s="22">
        <v>9374</v>
      </c>
      <c r="I18" s="22">
        <v>8421</v>
      </c>
      <c r="J18" s="22">
        <f>+J19+J20</f>
        <v>8500</v>
      </c>
      <c r="K18" s="22">
        <v>8703</v>
      </c>
      <c r="L18" s="22">
        <v>8335</v>
      </c>
      <c r="M18" s="22">
        <f>+M19+M20</f>
        <v>16909</v>
      </c>
      <c r="N18" s="22">
        <f t="shared" si="1"/>
        <v>112637</v>
      </c>
      <c r="P18" s="24"/>
      <c r="Q18" s="23"/>
    </row>
    <row r="19" spans="1:18" ht="22.5" customHeight="1">
      <c r="A19" s="21" t="s">
        <v>56</v>
      </c>
      <c r="B19" s="22">
        <v>40</v>
      </c>
      <c r="C19" s="22">
        <v>146</v>
      </c>
      <c r="D19" s="22">
        <v>5</v>
      </c>
      <c r="E19" s="22">
        <v>183</v>
      </c>
      <c r="F19" s="22">
        <v>61</v>
      </c>
      <c r="G19" s="22">
        <v>59</v>
      </c>
      <c r="H19" s="22">
        <v>186</v>
      </c>
      <c r="I19" s="22">
        <v>56</v>
      </c>
      <c r="J19" s="22">
        <v>87</v>
      </c>
      <c r="K19" s="22">
        <v>4</v>
      </c>
      <c r="L19" s="22">
        <v>254</v>
      </c>
      <c r="M19" s="22">
        <v>146</v>
      </c>
      <c r="N19" s="22">
        <f t="shared" si="1"/>
        <v>1227</v>
      </c>
      <c r="O19" s="25"/>
      <c r="P19" s="24"/>
      <c r="Q19" s="23"/>
      <c r="R19" s="23"/>
    </row>
    <row r="20" spans="1:17" ht="22.5" customHeight="1">
      <c r="A20" s="21" t="s">
        <v>57</v>
      </c>
      <c r="B20" s="22">
        <v>8567</v>
      </c>
      <c r="C20" s="22">
        <v>8517</v>
      </c>
      <c r="D20" s="22">
        <v>8337</v>
      </c>
      <c r="E20" s="22">
        <v>9806</v>
      </c>
      <c r="F20" s="22">
        <v>8298</v>
      </c>
      <c r="G20" s="22">
        <v>8376</v>
      </c>
      <c r="H20" s="22">
        <v>9188</v>
      </c>
      <c r="I20" s="22">
        <v>8365</v>
      </c>
      <c r="J20" s="22">
        <v>8413</v>
      </c>
      <c r="K20" s="22">
        <v>8699</v>
      </c>
      <c r="L20" s="22">
        <v>8081</v>
      </c>
      <c r="M20" s="22">
        <v>16763</v>
      </c>
      <c r="N20" s="22">
        <f t="shared" si="1"/>
        <v>111410</v>
      </c>
      <c r="O20" s="25"/>
      <c r="P20" s="24"/>
      <c r="Q20" s="23"/>
    </row>
    <row r="21" spans="4:15" ht="15.75" customHeight="1"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</row>
    <row r="22" ht="15.75" customHeight="1">
      <c r="N22" s="23"/>
    </row>
    <row r="23" ht="15.75" customHeight="1">
      <c r="A23" s="26"/>
    </row>
    <row r="24" ht="15.75" customHeight="1">
      <c r="A24" s="26"/>
    </row>
    <row r="25" ht="15.75" customHeight="1">
      <c r="A25" s="27"/>
    </row>
    <row r="26" ht="15.75" customHeight="1"/>
    <row r="27" ht="15.75" customHeight="1"/>
  </sheetData>
  <sheetProtection/>
  <printOptions horizontalCentered="1"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4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8"/>
  <sheetViews>
    <sheetView zoomScalePageLayoutView="0" workbookViewId="0" topLeftCell="A23">
      <selection activeCell="A64" sqref="A64"/>
    </sheetView>
  </sheetViews>
  <sheetFormatPr defaultColWidth="9.140625" defaultRowHeight="12.75"/>
  <cols>
    <col min="1" max="1" width="68.421875" style="0" customWidth="1"/>
    <col min="2" max="3" width="14.140625" style="141" customWidth="1"/>
    <col min="4" max="4" width="13.7109375" style="142" customWidth="1"/>
    <col min="5" max="6" width="8.8515625" style="0" customWidth="1"/>
  </cols>
  <sheetData>
    <row r="1" ht="12.75">
      <c r="F1" s="143"/>
    </row>
    <row r="4" ht="12.75">
      <c r="A4" s="144" t="s">
        <v>172</v>
      </c>
    </row>
    <row r="5" ht="12.75">
      <c r="A5" s="144"/>
    </row>
    <row r="6" ht="12.75">
      <c r="A6" s="144"/>
    </row>
    <row r="7" spans="1:6" ht="12.75">
      <c r="A7" t="s">
        <v>173</v>
      </c>
      <c r="C7" s="145"/>
      <c r="F7" s="143" t="s">
        <v>3</v>
      </c>
    </row>
    <row r="8" spans="1:6" s="151" customFormat="1" ht="69.75" customHeight="1">
      <c r="A8" s="146" t="s">
        <v>1</v>
      </c>
      <c r="B8" s="147" t="s">
        <v>74</v>
      </c>
      <c r="C8" s="147" t="s">
        <v>75</v>
      </c>
      <c r="D8" s="148" t="s">
        <v>174</v>
      </c>
      <c r="E8" s="149" t="s">
        <v>175</v>
      </c>
      <c r="F8" s="150" t="s">
        <v>176</v>
      </c>
    </row>
    <row r="9" spans="1:6" s="155" customFormat="1" ht="14.25" customHeight="1">
      <c r="A9" s="146" t="s">
        <v>0</v>
      </c>
      <c r="B9" s="147" t="s">
        <v>177</v>
      </c>
      <c r="C9" s="147" t="s">
        <v>178</v>
      </c>
      <c r="D9" s="152">
        <v>3</v>
      </c>
      <c r="E9" s="153">
        <v>4</v>
      </c>
      <c r="F9" s="154">
        <v>5</v>
      </c>
    </row>
    <row r="10" spans="1:7" ht="18.75" customHeight="1">
      <c r="A10" s="156" t="s">
        <v>179</v>
      </c>
      <c r="B10" s="157">
        <v>44847</v>
      </c>
      <c r="C10" s="157">
        <v>110078</v>
      </c>
      <c r="D10" s="158">
        <v>110078</v>
      </c>
      <c r="E10" s="159">
        <v>245.45231565099112</v>
      </c>
      <c r="F10" s="160">
        <v>100</v>
      </c>
      <c r="G10" s="161"/>
    </row>
    <row r="11" spans="1:7" ht="12.75">
      <c r="A11" s="162"/>
      <c r="B11" s="163"/>
      <c r="C11" s="163"/>
      <c r="D11" s="164"/>
      <c r="E11" s="165"/>
      <c r="F11" s="166"/>
      <c r="G11" s="161"/>
    </row>
    <row r="12" spans="1:7" ht="12.75">
      <c r="A12" s="162" t="s">
        <v>180</v>
      </c>
      <c r="B12" s="167">
        <v>44847</v>
      </c>
      <c r="C12" s="167">
        <v>110078</v>
      </c>
      <c r="D12" s="167">
        <v>108505</v>
      </c>
      <c r="E12" s="165">
        <v>241.94483466006648</v>
      </c>
      <c r="F12" s="166">
        <v>98.5710132814913</v>
      </c>
      <c r="G12" s="161"/>
    </row>
    <row r="13" spans="1:7" ht="12.75">
      <c r="A13" s="162" t="s">
        <v>2</v>
      </c>
      <c r="B13" s="163"/>
      <c r="C13" s="163" t="s">
        <v>181</v>
      </c>
      <c r="D13" s="164"/>
      <c r="E13" s="165"/>
      <c r="F13" s="166"/>
      <c r="G13" s="161"/>
    </row>
    <row r="14" spans="1:7" ht="18.75" customHeight="1">
      <c r="A14" s="162" t="s">
        <v>182</v>
      </c>
      <c r="B14" s="163">
        <v>294</v>
      </c>
      <c r="C14" s="163">
        <v>294</v>
      </c>
      <c r="D14" s="164">
        <v>292</v>
      </c>
      <c r="E14" s="165">
        <v>99.31972789115646</v>
      </c>
      <c r="F14" s="166">
        <v>99.31972789115646</v>
      </c>
      <c r="G14" s="161"/>
    </row>
    <row r="15" spans="1:7" ht="18.75" customHeight="1">
      <c r="A15" s="162" t="s">
        <v>183</v>
      </c>
      <c r="B15" s="163">
        <v>5565</v>
      </c>
      <c r="C15" s="163">
        <v>6076</v>
      </c>
      <c r="D15" s="164">
        <v>6063</v>
      </c>
      <c r="E15" s="165">
        <v>108.94878706199461</v>
      </c>
      <c r="F15" s="166">
        <v>99.78604344963792</v>
      </c>
      <c r="G15" s="161"/>
    </row>
    <row r="16" spans="1:7" ht="18.75" customHeight="1">
      <c r="A16" s="162" t="s">
        <v>184</v>
      </c>
      <c r="B16" s="163">
        <v>194</v>
      </c>
      <c r="C16" s="163">
        <v>154</v>
      </c>
      <c r="D16" s="164">
        <v>151</v>
      </c>
      <c r="E16" s="165">
        <v>77.83505154639175</v>
      </c>
      <c r="F16" s="166">
        <v>98.05194805194806</v>
      </c>
      <c r="G16" s="161"/>
    </row>
    <row r="17" spans="1:7" ht="18.75" customHeight="1">
      <c r="A17" s="162" t="s">
        <v>185</v>
      </c>
      <c r="B17" s="163">
        <v>5066</v>
      </c>
      <c r="C17" s="163">
        <v>5527</v>
      </c>
      <c r="D17" s="164">
        <v>5526</v>
      </c>
      <c r="E17" s="165">
        <v>109.08014212396368</v>
      </c>
      <c r="F17" s="166">
        <v>99.98190700199024</v>
      </c>
      <c r="G17" s="161"/>
    </row>
    <row r="18" spans="1:7" ht="31.5" customHeight="1">
      <c r="A18" s="168" t="s">
        <v>186</v>
      </c>
      <c r="B18" s="163">
        <v>7897</v>
      </c>
      <c r="C18" s="163">
        <v>8347</v>
      </c>
      <c r="D18" s="164">
        <v>8413</v>
      </c>
      <c r="E18" s="165">
        <v>106.53412688362668</v>
      </c>
      <c r="F18" s="166">
        <v>100.79070324667545</v>
      </c>
      <c r="G18" s="161"/>
    </row>
    <row r="19" spans="1:7" ht="12.75">
      <c r="A19" s="162" t="s">
        <v>187</v>
      </c>
      <c r="B19" s="163">
        <v>0</v>
      </c>
      <c r="C19" s="163">
        <v>0</v>
      </c>
      <c r="D19" s="164">
        <v>0</v>
      </c>
      <c r="E19" s="165">
        <v>0</v>
      </c>
      <c r="F19" s="166">
        <v>0</v>
      </c>
      <c r="G19" s="161"/>
    </row>
    <row r="20" spans="1:7" ht="39" customHeight="1">
      <c r="A20" s="169" t="s">
        <v>188</v>
      </c>
      <c r="B20" s="163">
        <v>362</v>
      </c>
      <c r="C20" s="163">
        <v>362</v>
      </c>
      <c r="D20" s="164">
        <v>410</v>
      </c>
      <c r="E20" s="165">
        <v>113.2596685082873</v>
      </c>
      <c r="F20" s="166">
        <v>113.2596685082873</v>
      </c>
      <c r="G20" s="170"/>
    </row>
    <row r="21" spans="1:7" ht="52.5" customHeight="1">
      <c r="A21" s="169" t="s">
        <v>189</v>
      </c>
      <c r="B21" s="163">
        <v>37</v>
      </c>
      <c r="C21" s="163">
        <v>37</v>
      </c>
      <c r="D21" s="164">
        <v>43</v>
      </c>
      <c r="E21" s="165">
        <v>116.21621621621621</v>
      </c>
      <c r="F21" s="166">
        <v>116.21621621621621</v>
      </c>
      <c r="G21" s="161"/>
    </row>
    <row r="22" spans="1:7" ht="33" customHeight="1">
      <c r="A22" s="169" t="s">
        <v>190</v>
      </c>
      <c r="B22" s="163">
        <v>1</v>
      </c>
      <c r="C22" s="163">
        <v>1</v>
      </c>
      <c r="D22" s="164">
        <v>2</v>
      </c>
      <c r="E22" s="165">
        <v>200</v>
      </c>
      <c r="F22" s="166">
        <v>200</v>
      </c>
      <c r="G22" s="161"/>
    </row>
    <row r="23" spans="1:7" ht="18.75" customHeight="1">
      <c r="A23" s="162" t="s">
        <v>191</v>
      </c>
      <c r="B23" s="163">
        <v>300</v>
      </c>
      <c r="C23" s="163">
        <v>353</v>
      </c>
      <c r="D23" s="164">
        <v>365</v>
      </c>
      <c r="E23" s="165">
        <v>121.66666666666666</v>
      </c>
      <c r="F23" s="166">
        <v>103.39943342776203</v>
      </c>
      <c r="G23" s="161"/>
    </row>
    <row r="24" spans="1:7" ht="18.75" customHeight="1">
      <c r="A24" s="162" t="s">
        <v>192</v>
      </c>
      <c r="B24" s="163">
        <v>0</v>
      </c>
      <c r="C24" s="163">
        <v>0</v>
      </c>
      <c r="D24" s="164">
        <v>9</v>
      </c>
      <c r="E24" s="171" t="s">
        <v>193</v>
      </c>
      <c r="F24" s="172" t="s">
        <v>193</v>
      </c>
      <c r="G24" s="161"/>
    </row>
    <row r="25" spans="1:7" ht="18.75" customHeight="1">
      <c r="A25" s="173" t="s">
        <v>194</v>
      </c>
      <c r="B25" s="163">
        <v>0</v>
      </c>
      <c r="C25" s="163">
        <v>63500</v>
      </c>
      <c r="D25" s="164">
        <v>61775</v>
      </c>
      <c r="E25" s="171" t="s">
        <v>193</v>
      </c>
      <c r="F25" s="172" t="s">
        <v>193</v>
      </c>
      <c r="G25" s="161"/>
    </row>
    <row r="26" spans="1:7" ht="29.25" customHeight="1">
      <c r="A26" s="173" t="s">
        <v>195</v>
      </c>
      <c r="B26" s="163">
        <v>3070</v>
      </c>
      <c r="C26" s="163">
        <v>3036</v>
      </c>
      <c r="D26" s="164">
        <v>3021</v>
      </c>
      <c r="E26" s="165">
        <v>98.40390879478828</v>
      </c>
      <c r="F26" s="166">
        <v>99.50592885375494</v>
      </c>
      <c r="G26" s="161"/>
    </row>
    <row r="27" spans="1:7" ht="23.25" customHeight="1">
      <c r="A27" s="173" t="s">
        <v>196</v>
      </c>
      <c r="B27" s="163">
        <v>0</v>
      </c>
      <c r="C27" s="163">
        <v>0</v>
      </c>
      <c r="D27" s="174">
        <v>6</v>
      </c>
      <c r="E27" s="171" t="s">
        <v>193</v>
      </c>
      <c r="F27" s="172" t="s">
        <v>193</v>
      </c>
      <c r="G27" s="161"/>
    </row>
    <row r="28" spans="1:6" ht="18.75" customHeight="1" thickBot="1">
      <c r="A28" s="175" t="s">
        <v>197</v>
      </c>
      <c r="B28" s="176">
        <v>22061</v>
      </c>
      <c r="C28" s="176">
        <v>22391</v>
      </c>
      <c r="D28" s="177">
        <v>22429</v>
      </c>
      <c r="E28" s="178">
        <v>101.6681020805947</v>
      </c>
      <c r="F28" s="179">
        <v>100.16971104461614</v>
      </c>
    </row>
    <row r="29" spans="1:6" ht="23.25" customHeight="1" thickBot="1">
      <c r="A29" s="180" t="s">
        <v>198</v>
      </c>
      <c r="B29" s="181" t="s">
        <v>193</v>
      </c>
      <c r="C29" s="181" t="s">
        <v>193</v>
      </c>
      <c r="D29" s="182">
        <v>1573</v>
      </c>
      <c r="E29" s="183" t="s">
        <v>193</v>
      </c>
      <c r="F29" s="184" t="s">
        <v>193</v>
      </c>
    </row>
    <row r="30" spans="1:6" ht="12" customHeight="1">
      <c r="A30" s="185" t="s">
        <v>207</v>
      </c>
      <c r="B30" s="186"/>
      <c r="C30" s="186"/>
      <c r="D30" s="187">
        <v>63500</v>
      </c>
      <c r="E30" s="188"/>
      <c r="F30" s="189"/>
    </row>
    <row r="31" spans="1:6" ht="12" customHeight="1">
      <c r="A31" s="190" t="s">
        <v>208</v>
      </c>
      <c r="B31" s="191"/>
      <c r="C31" s="191"/>
      <c r="D31" s="192">
        <v>61775</v>
      </c>
      <c r="E31" s="193"/>
      <c r="F31" s="194"/>
    </row>
    <row r="32" spans="1:6" ht="12.75" customHeight="1" thickBot="1">
      <c r="A32" s="190" t="s">
        <v>209</v>
      </c>
      <c r="B32" s="191"/>
      <c r="C32" s="191"/>
      <c r="D32" s="195">
        <v>1725</v>
      </c>
      <c r="E32" s="193"/>
      <c r="F32" s="194"/>
    </row>
    <row r="33" spans="1:6" ht="12" customHeight="1">
      <c r="A33" s="185" t="s">
        <v>210</v>
      </c>
      <c r="B33" s="186"/>
      <c r="C33" s="186"/>
      <c r="D33" s="187">
        <v>46578</v>
      </c>
      <c r="E33" s="188"/>
      <c r="F33" s="189"/>
    </row>
    <row r="34" spans="1:6" ht="12" customHeight="1">
      <c r="A34" s="190" t="s">
        <v>208</v>
      </c>
      <c r="B34" s="191"/>
      <c r="C34" s="191"/>
      <c r="D34" s="192">
        <v>46730</v>
      </c>
      <c r="E34" s="193"/>
      <c r="F34" s="194"/>
    </row>
    <row r="35" spans="1:6" ht="12" customHeight="1" thickBot="1">
      <c r="A35" s="196" t="s">
        <v>209</v>
      </c>
      <c r="B35" s="197"/>
      <c r="C35" s="197"/>
      <c r="D35" s="198">
        <v>-152</v>
      </c>
      <c r="E35" s="199"/>
      <c r="F35" s="200"/>
    </row>
    <row r="36" spans="1:6" ht="12" customHeight="1">
      <c r="A36" s="161"/>
      <c r="B36" s="191"/>
      <c r="C36" s="191"/>
      <c r="D36" s="192"/>
      <c r="E36" s="193"/>
      <c r="F36" s="193"/>
    </row>
    <row r="37" ht="12" customHeight="1">
      <c r="A37" s="201" t="s">
        <v>199</v>
      </c>
    </row>
    <row r="38" ht="12" customHeight="1">
      <c r="A38" s="202" t="s">
        <v>211</v>
      </c>
    </row>
    <row r="39" ht="12" customHeight="1">
      <c r="A39" s="202" t="s">
        <v>212</v>
      </c>
    </row>
    <row r="40" ht="12" customHeight="1">
      <c r="A40" s="202"/>
    </row>
    <row r="42" spans="1:2" ht="12.75">
      <c r="A42" t="s">
        <v>200</v>
      </c>
      <c r="B42" s="143" t="s">
        <v>3</v>
      </c>
    </row>
    <row r="43" spans="1:2" s="151" customFormat="1" ht="69.75" customHeight="1">
      <c r="A43" s="146" t="s">
        <v>1</v>
      </c>
      <c r="B43" s="148" t="s">
        <v>174</v>
      </c>
    </row>
    <row r="44" spans="1:2" s="155" customFormat="1" ht="14.25" customHeight="1">
      <c r="A44" s="203" t="s">
        <v>0</v>
      </c>
      <c r="B44" s="154">
        <v>1</v>
      </c>
    </row>
    <row r="45" spans="1:4" ht="41.25" customHeight="1">
      <c r="A45" s="204" t="s">
        <v>201</v>
      </c>
      <c r="B45" s="205">
        <v>1817</v>
      </c>
      <c r="C45"/>
      <c r="D45"/>
    </row>
    <row r="46" spans="1:6" ht="15" customHeight="1">
      <c r="A46" s="204" t="s">
        <v>202</v>
      </c>
      <c r="B46" s="206">
        <v>1670</v>
      </c>
      <c r="C46"/>
      <c r="D46"/>
      <c r="F46" s="208"/>
    </row>
    <row r="47" spans="1:6" ht="15" customHeight="1">
      <c r="A47" s="204" t="s">
        <v>203</v>
      </c>
      <c r="B47" s="207">
        <v>-147</v>
      </c>
      <c r="C47"/>
      <c r="D47" s="208"/>
      <c r="F47" s="208"/>
    </row>
    <row r="48" ht="12.75">
      <c r="F48" s="208"/>
    </row>
  </sheetData>
  <sheetProtection/>
  <printOptions horizontalCentered="1"/>
  <pageMargins left="0.3937007874015748" right="0.3937007874015748" top="0.5905511811023623" bottom="0.5905511811023623" header="0.5118110236220472" footer="0.5118110236220472"/>
  <pageSetup fitToHeight="1" fitToWidth="1" horizontalDpi="600" verticalDpi="600" orientation="portrait" paperSize="9" scale="75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65"/>
  <sheetViews>
    <sheetView showGridLines="0" zoomScalePageLayoutView="0" workbookViewId="0" topLeftCell="C47">
      <selection activeCell="A64" sqref="A64"/>
    </sheetView>
  </sheetViews>
  <sheetFormatPr defaultColWidth="9.140625" defaultRowHeight="12.75"/>
  <cols>
    <col min="1" max="1" width="57.8515625" style="83" customWidth="1"/>
    <col min="2" max="2" width="19.7109375" style="83" customWidth="1"/>
    <col min="3" max="3" width="18.28125" style="83" customWidth="1"/>
    <col min="4" max="4" width="19.140625" style="83" customWidth="1"/>
    <col min="5" max="5" width="17.57421875" style="83" customWidth="1"/>
    <col min="6" max="6" width="19.140625" style="83" customWidth="1"/>
    <col min="7" max="8" width="15.28125" style="83" customWidth="1"/>
    <col min="9" max="9" width="11.28125" style="83" customWidth="1"/>
    <col min="10" max="10" width="11.140625" style="83" customWidth="1"/>
    <col min="11" max="11" width="12.8515625" style="83" customWidth="1"/>
    <col min="12" max="12" width="9.140625" style="83" customWidth="1"/>
    <col min="13" max="13" width="11.7109375" style="83" customWidth="1"/>
    <col min="14" max="15" width="10.8515625" style="83" customWidth="1"/>
    <col min="16" max="16" width="13.00390625" style="83" customWidth="1"/>
    <col min="17" max="16384" width="9.140625" style="83" customWidth="1"/>
  </cols>
  <sheetData>
    <row r="2" ht="15">
      <c r="A2" s="83" t="s">
        <v>167</v>
      </c>
    </row>
    <row r="3" spans="2:8" ht="15" thickBot="1">
      <c r="B3" s="84"/>
      <c r="C3" s="84"/>
      <c r="D3" s="84"/>
      <c r="H3" s="84"/>
    </row>
    <row r="4" spans="1:8" ht="18" customHeight="1" thickBot="1">
      <c r="A4" s="85" t="s">
        <v>98</v>
      </c>
      <c r="B4" s="86" t="s">
        <v>99</v>
      </c>
      <c r="C4" s="87" t="s">
        <v>100</v>
      </c>
      <c r="D4" s="88"/>
      <c r="E4" s="88"/>
      <c r="F4" s="89"/>
      <c r="G4" s="767"/>
      <c r="H4" s="767"/>
    </row>
    <row r="5" spans="1:8" ht="30" customHeight="1" thickBot="1">
      <c r="A5" s="90"/>
      <c r="B5" s="91" t="s">
        <v>101</v>
      </c>
      <c r="C5" s="92" t="s">
        <v>102</v>
      </c>
      <c r="D5" s="93" t="s">
        <v>103</v>
      </c>
      <c r="E5" s="94" t="s">
        <v>104</v>
      </c>
      <c r="F5" s="95" t="s">
        <v>4</v>
      </c>
      <c r="G5" s="117"/>
      <c r="H5" s="117"/>
    </row>
    <row r="6" spans="1:8" ht="15" thickBot="1">
      <c r="A6" s="96" t="s">
        <v>0</v>
      </c>
      <c r="B6" s="97">
        <v>1</v>
      </c>
      <c r="C6" s="97">
        <v>2</v>
      </c>
      <c r="D6" s="97">
        <v>3</v>
      </c>
      <c r="E6" s="97">
        <v>4</v>
      </c>
      <c r="F6" s="98">
        <v>5</v>
      </c>
      <c r="G6" s="117"/>
      <c r="H6" s="117"/>
    </row>
    <row r="7" spans="1:8" ht="15">
      <c r="A7" s="99"/>
      <c r="B7" s="100"/>
      <c r="C7" s="99"/>
      <c r="D7" s="99"/>
      <c r="E7" s="99"/>
      <c r="F7" s="101"/>
      <c r="G7" s="102"/>
      <c r="H7" s="102"/>
    </row>
    <row r="8" spans="1:8" ht="15">
      <c r="A8" s="103" t="s">
        <v>105</v>
      </c>
      <c r="B8" s="104" t="s">
        <v>106</v>
      </c>
      <c r="C8" s="105">
        <v>40719</v>
      </c>
      <c r="D8" s="105">
        <v>40719</v>
      </c>
      <c r="E8" s="105">
        <v>0</v>
      </c>
      <c r="F8" s="106">
        <v>40719</v>
      </c>
      <c r="G8" s="107"/>
      <c r="H8" s="107"/>
    </row>
    <row r="9" spans="1:8" ht="15">
      <c r="A9" s="103" t="s">
        <v>107</v>
      </c>
      <c r="B9" s="104" t="s">
        <v>108</v>
      </c>
      <c r="C9" s="105">
        <v>318612</v>
      </c>
      <c r="D9" s="105">
        <v>318612</v>
      </c>
      <c r="E9" s="105">
        <v>0</v>
      </c>
      <c r="F9" s="106">
        <v>318612</v>
      </c>
      <c r="G9" s="107"/>
      <c r="H9" s="107"/>
    </row>
    <row r="10" spans="1:8" ht="15">
      <c r="A10" s="103" t="s">
        <v>109</v>
      </c>
      <c r="B10" s="104" t="s">
        <v>110</v>
      </c>
      <c r="C10" s="105">
        <v>10468</v>
      </c>
      <c r="D10" s="105">
        <v>10468</v>
      </c>
      <c r="E10" s="105">
        <v>0</v>
      </c>
      <c r="F10" s="106">
        <v>10468</v>
      </c>
      <c r="G10" s="107"/>
      <c r="H10" s="107"/>
    </row>
    <row r="11" spans="1:8" ht="15">
      <c r="A11" s="103" t="s">
        <v>111</v>
      </c>
      <c r="B11" s="104" t="s">
        <v>112</v>
      </c>
      <c r="C11" s="105">
        <v>22072</v>
      </c>
      <c r="D11" s="105">
        <v>22072</v>
      </c>
      <c r="E11" s="105">
        <v>0</v>
      </c>
      <c r="F11" s="106">
        <v>22072</v>
      </c>
      <c r="G11" s="107"/>
      <c r="H11" s="107"/>
    </row>
    <row r="12" spans="1:8" ht="15">
      <c r="A12" s="103" t="s">
        <v>113</v>
      </c>
      <c r="B12" s="104" t="s">
        <v>114</v>
      </c>
      <c r="C12" s="105">
        <v>10658</v>
      </c>
      <c r="D12" s="105">
        <v>10658</v>
      </c>
      <c r="E12" s="105">
        <v>0</v>
      </c>
      <c r="F12" s="106">
        <v>10658</v>
      </c>
      <c r="G12" s="107"/>
      <c r="H12" s="107"/>
    </row>
    <row r="13" spans="1:8" ht="15">
      <c r="A13" s="103"/>
      <c r="B13" s="104"/>
      <c r="C13" s="105"/>
      <c r="D13" s="105"/>
      <c r="E13" s="105" t="s">
        <v>115</v>
      </c>
      <c r="F13" s="106"/>
      <c r="G13" s="107"/>
      <c r="H13" s="107"/>
    </row>
    <row r="14" spans="1:8" ht="15">
      <c r="A14" s="103" t="s">
        <v>116</v>
      </c>
      <c r="B14" s="104"/>
      <c r="C14" s="105">
        <v>402529</v>
      </c>
      <c r="D14" s="105">
        <v>402529</v>
      </c>
      <c r="E14" s="105">
        <v>0</v>
      </c>
      <c r="F14" s="106">
        <v>402529</v>
      </c>
      <c r="G14" s="107"/>
      <c r="H14" s="107"/>
    </row>
    <row r="15" spans="1:8" ht="15">
      <c r="A15" s="103"/>
      <c r="B15" s="104"/>
      <c r="C15" s="105"/>
      <c r="D15" s="105"/>
      <c r="E15" s="105"/>
      <c r="F15" s="106"/>
      <c r="G15" s="107"/>
      <c r="H15" s="107"/>
    </row>
    <row r="16" spans="1:8" ht="15">
      <c r="A16" s="103" t="s">
        <v>117</v>
      </c>
      <c r="B16" s="104" t="s">
        <v>118</v>
      </c>
      <c r="C16" s="105">
        <v>2638</v>
      </c>
      <c r="D16" s="105">
        <v>2638</v>
      </c>
      <c r="E16" s="105">
        <v>0</v>
      </c>
      <c r="F16" s="106">
        <v>2638</v>
      </c>
      <c r="G16" s="107"/>
      <c r="H16" s="107"/>
    </row>
    <row r="17" spans="1:8" ht="15">
      <c r="A17" s="103"/>
      <c r="B17" s="104"/>
      <c r="C17" s="105"/>
      <c r="D17" s="105"/>
      <c r="E17" s="105"/>
      <c r="F17" s="106"/>
      <c r="G17" s="107"/>
      <c r="H17" s="107"/>
    </row>
    <row r="18" spans="1:8" ht="15">
      <c r="A18" s="103" t="s">
        <v>119</v>
      </c>
      <c r="B18" s="108"/>
      <c r="C18" s="109">
        <v>405167</v>
      </c>
      <c r="D18" s="109">
        <v>405167</v>
      </c>
      <c r="E18" s="109">
        <v>0</v>
      </c>
      <c r="F18" s="118">
        <v>405167</v>
      </c>
      <c r="G18" s="119"/>
      <c r="H18" s="119"/>
    </row>
    <row r="19" spans="1:8" ht="15">
      <c r="A19" s="103"/>
      <c r="B19" s="108"/>
      <c r="C19" s="109"/>
      <c r="D19" s="109"/>
      <c r="E19" s="109"/>
      <c r="F19" s="118"/>
      <c r="G19" s="119"/>
      <c r="H19" s="119"/>
    </row>
    <row r="20" spans="1:8" ht="15">
      <c r="A20" s="103" t="s">
        <v>120</v>
      </c>
      <c r="B20" s="108"/>
      <c r="C20" s="109">
        <v>140545</v>
      </c>
      <c r="D20" s="109">
        <v>62610</v>
      </c>
      <c r="E20" s="109">
        <v>0</v>
      </c>
      <c r="F20" s="109">
        <v>140545</v>
      </c>
      <c r="G20" s="119"/>
      <c r="H20" s="119"/>
    </row>
    <row r="21" spans="1:8" ht="15">
      <c r="A21" s="103" t="s">
        <v>2</v>
      </c>
      <c r="B21" s="108"/>
      <c r="C21" s="109"/>
      <c r="D21" s="109"/>
      <c r="E21" s="109"/>
      <c r="F21" s="118"/>
      <c r="G21" s="119"/>
      <c r="H21" s="119"/>
    </row>
    <row r="22" spans="1:8" ht="15">
      <c r="A22" s="103" t="s">
        <v>121</v>
      </c>
      <c r="B22" s="108"/>
      <c r="C22" s="105">
        <v>65653</v>
      </c>
      <c r="D22" s="105">
        <v>65653</v>
      </c>
      <c r="E22" s="105">
        <v>0</v>
      </c>
      <c r="F22" s="106">
        <v>65653</v>
      </c>
      <c r="G22" s="107"/>
      <c r="H22" s="107"/>
    </row>
    <row r="23" spans="1:8" ht="15">
      <c r="A23" s="103" t="s">
        <v>122</v>
      </c>
      <c r="B23" s="104" t="s">
        <v>123</v>
      </c>
      <c r="C23" s="105">
        <v>44</v>
      </c>
      <c r="D23" s="105">
        <v>0</v>
      </c>
      <c r="E23" s="105">
        <v>0</v>
      </c>
      <c r="F23" s="106">
        <v>44</v>
      </c>
      <c r="G23" s="107"/>
      <c r="H23" s="107"/>
    </row>
    <row r="24" spans="1:8" ht="15">
      <c r="A24" s="103" t="s">
        <v>124</v>
      </c>
      <c r="B24" s="108" t="s">
        <v>125</v>
      </c>
      <c r="C24" s="105">
        <v>0</v>
      </c>
      <c r="D24" s="105">
        <v>0</v>
      </c>
      <c r="E24" s="105">
        <v>0</v>
      </c>
      <c r="F24" s="106">
        <v>0</v>
      </c>
      <c r="G24" s="107"/>
      <c r="H24" s="107"/>
    </row>
    <row r="25" spans="1:8" ht="15">
      <c r="A25" s="103" t="s">
        <v>126</v>
      </c>
      <c r="B25" s="104" t="s">
        <v>127</v>
      </c>
      <c r="C25" s="105">
        <v>62610</v>
      </c>
      <c r="D25" s="105">
        <v>62610</v>
      </c>
      <c r="E25" s="105">
        <v>0</v>
      </c>
      <c r="F25" s="106">
        <v>62610</v>
      </c>
      <c r="G25" s="107"/>
      <c r="H25" s="107"/>
    </row>
    <row r="26" spans="1:8" ht="15">
      <c r="A26" s="103" t="s">
        <v>128</v>
      </c>
      <c r="B26" s="108"/>
      <c r="C26" s="109">
        <v>5154</v>
      </c>
      <c r="D26" s="109">
        <v>0</v>
      </c>
      <c r="E26" s="109">
        <v>0</v>
      </c>
      <c r="F26" s="106">
        <v>5154</v>
      </c>
      <c r="G26" s="107"/>
      <c r="H26" s="107"/>
    </row>
    <row r="27" spans="1:8" ht="15">
      <c r="A27" s="103" t="s">
        <v>129</v>
      </c>
      <c r="B27" s="108" t="s">
        <v>130</v>
      </c>
      <c r="C27" s="109">
        <v>0</v>
      </c>
      <c r="D27" s="109">
        <v>0</v>
      </c>
      <c r="E27" s="109">
        <v>0</v>
      </c>
      <c r="F27" s="106">
        <v>0</v>
      </c>
      <c r="G27" s="107"/>
      <c r="H27" s="107"/>
    </row>
    <row r="28" spans="1:8" ht="15">
      <c r="A28" s="103" t="s">
        <v>131</v>
      </c>
      <c r="B28" s="108" t="s">
        <v>132</v>
      </c>
      <c r="C28" s="109">
        <v>14</v>
      </c>
      <c r="D28" s="109">
        <v>0</v>
      </c>
      <c r="E28" s="109">
        <v>0</v>
      </c>
      <c r="F28" s="106">
        <v>14</v>
      </c>
      <c r="G28" s="107"/>
      <c r="H28" s="107"/>
    </row>
    <row r="29" spans="1:8" ht="15">
      <c r="A29" s="103" t="s">
        <v>133</v>
      </c>
      <c r="B29" s="108"/>
      <c r="C29" s="109">
        <v>100</v>
      </c>
      <c r="D29" s="109">
        <v>0</v>
      </c>
      <c r="E29" s="109">
        <v>0</v>
      </c>
      <c r="F29" s="106">
        <v>100</v>
      </c>
      <c r="G29" s="107"/>
      <c r="H29" s="107"/>
    </row>
    <row r="30" spans="1:8" ht="15">
      <c r="A30" s="103" t="s">
        <v>134</v>
      </c>
      <c r="B30" s="108" t="s">
        <v>135</v>
      </c>
      <c r="C30" s="109">
        <v>6970</v>
      </c>
      <c r="D30" s="109">
        <v>0</v>
      </c>
      <c r="E30" s="109">
        <v>0</v>
      </c>
      <c r="F30" s="106">
        <v>6970</v>
      </c>
      <c r="G30" s="107"/>
      <c r="H30" s="107"/>
    </row>
    <row r="31" spans="1:8" ht="15" thickBot="1">
      <c r="A31" s="103" t="s">
        <v>136</v>
      </c>
      <c r="B31" s="108" t="s">
        <v>137</v>
      </c>
      <c r="C31" s="110">
        <v>0</v>
      </c>
      <c r="D31" s="110">
        <v>0</v>
      </c>
      <c r="E31" s="110">
        <v>0</v>
      </c>
      <c r="F31" s="106">
        <v>0</v>
      </c>
      <c r="G31" s="107"/>
      <c r="H31" s="107"/>
    </row>
    <row r="32" spans="1:8" ht="15" thickBot="1">
      <c r="A32" s="111" t="s">
        <v>138</v>
      </c>
      <c r="B32" s="111"/>
      <c r="C32" s="112">
        <v>545712</v>
      </c>
      <c r="D32" s="112">
        <v>214818</v>
      </c>
      <c r="E32" s="112">
        <v>0</v>
      </c>
      <c r="F32" s="112">
        <v>545712</v>
      </c>
      <c r="G32" s="107"/>
      <c r="H32" s="107"/>
    </row>
    <row r="33" spans="1:8" ht="15">
      <c r="A33" s="102"/>
      <c r="B33" s="102"/>
      <c r="C33" s="113"/>
      <c r="D33" s="113"/>
      <c r="E33" s="113"/>
      <c r="F33" s="113"/>
      <c r="G33" s="113"/>
      <c r="H33" s="113"/>
    </row>
    <row r="34" spans="1:8" ht="15">
      <c r="A34" s="102"/>
      <c r="B34" s="102"/>
      <c r="C34" s="113"/>
      <c r="D34" s="113"/>
      <c r="E34" s="113"/>
      <c r="F34" s="113"/>
      <c r="G34" s="113"/>
      <c r="H34" s="113"/>
    </row>
    <row r="35" spans="1:8" ht="15">
      <c r="A35" s="102" t="s">
        <v>168</v>
      </c>
      <c r="B35" s="102"/>
      <c r="C35" s="113"/>
      <c r="D35" s="113"/>
      <c r="E35" s="113"/>
      <c r="F35" s="113"/>
      <c r="G35" s="113"/>
      <c r="H35" s="113"/>
    </row>
    <row r="36" spans="1:8" ht="15" thickBot="1">
      <c r="A36" s="83" t="s">
        <v>139</v>
      </c>
      <c r="D36" s="84"/>
      <c r="F36" s="120"/>
      <c r="H36" s="113" t="s">
        <v>140</v>
      </c>
    </row>
    <row r="37" spans="1:8" ht="15" thickBot="1">
      <c r="A37" s="96" t="s">
        <v>141</v>
      </c>
      <c r="B37" s="96" t="s">
        <v>142</v>
      </c>
      <c r="C37" s="98" t="s">
        <v>143</v>
      </c>
      <c r="D37" s="96" t="s">
        <v>144</v>
      </c>
      <c r="E37" s="98" t="s">
        <v>145</v>
      </c>
      <c r="F37" s="96" t="s">
        <v>146</v>
      </c>
      <c r="G37" s="98" t="s">
        <v>147</v>
      </c>
      <c r="H37" s="96" t="s">
        <v>148</v>
      </c>
    </row>
    <row r="38" spans="1:8" ht="15">
      <c r="A38" s="121" t="s">
        <v>149</v>
      </c>
      <c r="B38" s="114"/>
      <c r="C38" s="122"/>
      <c r="D38" s="123"/>
      <c r="E38" s="122"/>
      <c r="F38" s="123"/>
      <c r="G38" s="124"/>
      <c r="H38" s="114">
        <v>0</v>
      </c>
    </row>
    <row r="39" spans="1:8" ht="15">
      <c r="A39" s="121" t="s">
        <v>150</v>
      </c>
      <c r="B39" s="114">
        <v>260000</v>
      </c>
      <c r="C39" s="122"/>
      <c r="D39" s="122"/>
      <c r="E39" s="122"/>
      <c r="F39" s="122"/>
      <c r="G39" s="124">
        <v>60000</v>
      </c>
      <c r="H39" s="114">
        <v>320000</v>
      </c>
    </row>
    <row r="40" spans="1:8" ht="15">
      <c r="A40" s="121" t="s">
        <v>151</v>
      </c>
      <c r="B40" s="114">
        <v>300000</v>
      </c>
      <c r="C40" s="122"/>
      <c r="D40" s="122"/>
      <c r="E40" s="122"/>
      <c r="F40" s="122"/>
      <c r="G40" s="124"/>
      <c r="H40" s="114">
        <v>300000</v>
      </c>
    </row>
    <row r="41" spans="1:8" ht="15">
      <c r="A41" s="121" t="s">
        <v>152</v>
      </c>
      <c r="B41" s="114">
        <v>210000</v>
      </c>
      <c r="C41" s="122"/>
      <c r="D41" s="122">
        <v>100000</v>
      </c>
      <c r="E41" s="122">
        <v>92000</v>
      </c>
      <c r="F41" s="122">
        <v>44000</v>
      </c>
      <c r="G41" s="124"/>
      <c r="H41" s="114">
        <v>446000</v>
      </c>
    </row>
    <row r="42" spans="1:8" ht="15" thickBot="1">
      <c r="A42" s="121"/>
      <c r="B42" s="125"/>
      <c r="C42" s="122"/>
      <c r="D42" s="122"/>
      <c r="E42" s="126"/>
      <c r="F42" s="122"/>
      <c r="G42" s="124"/>
      <c r="H42" s="114"/>
    </row>
    <row r="43" spans="1:8" ht="15" thickBot="1">
      <c r="A43" s="96" t="s">
        <v>153</v>
      </c>
      <c r="B43" s="127">
        <v>770000</v>
      </c>
      <c r="C43" s="127">
        <v>0</v>
      </c>
      <c r="D43" s="127">
        <v>100000</v>
      </c>
      <c r="E43" s="127">
        <v>92000</v>
      </c>
      <c r="F43" s="127">
        <v>44000</v>
      </c>
      <c r="G43" s="127">
        <v>60000</v>
      </c>
      <c r="H43" s="127">
        <v>1066000</v>
      </c>
    </row>
    <row r="44" spans="1:8" ht="15">
      <c r="A44" s="117"/>
      <c r="B44" s="113"/>
      <c r="C44" s="113"/>
      <c r="D44" s="113"/>
      <c r="E44" s="113"/>
      <c r="F44" s="113"/>
      <c r="G44" s="113"/>
      <c r="H44" s="113"/>
    </row>
    <row r="45" spans="1:8" ht="15">
      <c r="A45" s="102" t="s">
        <v>169</v>
      </c>
      <c r="B45" s="102"/>
      <c r="C45" s="113"/>
      <c r="D45" s="113"/>
      <c r="E45" s="113"/>
      <c r="F45" s="113"/>
      <c r="G45" s="113"/>
      <c r="H45" s="113"/>
    </row>
    <row r="46" spans="1:6" ht="15" thickBot="1">
      <c r="A46" s="83" t="s">
        <v>139</v>
      </c>
      <c r="D46" s="113" t="s">
        <v>140</v>
      </c>
      <c r="F46" s="120"/>
    </row>
    <row r="47" spans="1:8" ht="15" thickBot="1">
      <c r="A47" s="96" t="s">
        <v>141</v>
      </c>
      <c r="B47" s="96" t="s">
        <v>146</v>
      </c>
      <c r="C47" s="98" t="s">
        <v>170</v>
      </c>
      <c r="D47" s="96" t="s">
        <v>171</v>
      </c>
      <c r="E47" s="117"/>
      <c r="F47" s="117"/>
      <c r="G47" s="117"/>
      <c r="H47" s="117"/>
    </row>
    <row r="48" spans="1:8" ht="15">
      <c r="A48" s="121" t="s">
        <v>149</v>
      </c>
      <c r="B48" s="114"/>
      <c r="C48" s="122"/>
      <c r="D48" s="123"/>
      <c r="E48" s="115"/>
      <c r="F48" s="115"/>
      <c r="G48" s="113"/>
      <c r="H48" s="113"/>
    </row>
    <row r="49" spans="1:8" ht="15">
      <c r="A49" s="121" t="s">
        <v>150</v>
      </c>
      <c r="B49" s="114"/>
      <c r="C49" s="122"/>
      <c r="D49" s="123"/>
      <c r="E49" s="115"/>
      <c r="F49" s="115"/>
      <c r="G49" s="113"/>
      <c r="H49" s="113"/>
    </row>
    <row r="50" spans="1:8" ht="15">
      <c r="A50" s="121" t="s">
        <v>151</v>
      </c>
      <c r="B50" s="114"/>
      <c r="C50" s="122"/>
      <c r="D50" s="123"/>
      <c r="E50" s="115"/>
      <c r="F50" s="115"/>
      <c r="G50" s="113"/>
      <c r="H50" s="113"/>
    </row>
    <row r="51" spans="1:8" ht="15">
      <c r="A51" s="121" t="s">
        <v>152</v>
      </c>
      <c r="B51" s="114">
        <v>5000</v>
      </c>
      <c r="C51" s="122">
        <v>15000</v>
      </c>
      <c r="D51" s="123">
        <v>20000</v>
      </c>
      <c r="E51" s="115"/>
      <c r="F51" s="115"/>
      <c r="G51" s="113"/>
      <c r="H51" s="113"/>
    </row>
    <row r="52" spans="1:8" ht="15" thickBot="1">
      <c r="A52" s="121"/>
      <c r="B52" s="125"/>
      <c r="C52" s="122"/>
      <c r="D52" s="123"/>
      <c r="E52" s="102"/>
      <c r="F52" s="115"/>
      <c r="G52" s="113"/>
      <c r="H52" s="113"/>
    </row>
    <row r="53" spans="1:8" ht="15" thickBot="1">
      <c r="A53" s="96" t="s">
        <v>153</v>
      </c>
      <c r="B53" s="127">
        <v>5000</v>
      </c>
      <c r="C53" s="127">
        <v>15000</v>
      </c>
      <c r="D53" s="127">
        <v>20000</v>
      </c>
      <c r="E53" s="113"/>
      <c r="F53" s="113"/>
      <c r="G53" s="113"/>
      <c r="H53" s="113"/>
    </row>
    <row r="55" ht="15">
      <c r="A55" s="128" t="s">
        <v>154</v>
      </c>
    </row>
    <row r="56" spans="1:6" ht="15" thickBot="1">
      <c r="A56" s="129" t="s">
        <v>2</v>
      </c>
      <c r="F56" s="113" t="s">
        <v>140</v>
      </c>
    </row>
    <row r="57" spans="1:8" ht="15">
      <c r="A57" s="130" t="s">
        <v>141</v>
      </c>
      <c r="B57" s="85" t="s">
        <v>149</v>
      </c>
      <c r="C57" s="85" t="s">
        <v>150</v>
      </c>
      <c r="D57" s="85" t="s">
        <v>151</v>
      </c>
      <c r="E57" s="85" t="s">
        <v>152</v>
      </c>
      <c r="F57" s="131" t="s">
        <v>4</v>
      </c>
      <c r="H57" s="117"/>
    </row>
    <row r="58" spans="1:8" ht="15" thickBot="1">
      <c r="A58" s="132"/>
      <c r="B58" s="97" t="s">
        <v>148</v>
      </c>
      <c r="C58" s="97" t="s">
        <v>148</v>
      </c>
      <c r="D58" s="97" t="s">
        <v>148</v>
      </c>
      <c r="E58" s="97" t="s">
        <v>148</v>
      </c>
      <c r="F58" s="133"/>
      <c r="H58" s="117"/>
    </row>
    <row r="59" spans="1:8" ht="15">
      <c r="A59" s="134" t="s">
        <v>149</v>
      </c>
      <c r="B59" s="123">
        <v>445000</v>
      </c>
      <c r="C59" s="123"/>
      <c r="D59" s="135"/>
      <c r="E59" s="123"/>
      <c r="F59" s="124">
        <v>445000</v>
      </c>
      <c r="H59" s="102"/>
    </row>
    <row r="60" spans="1:8" ht="15">
      <c r="A60" s="134" t="s">
        <v>150</v>
      </c>
      <c r="B60" s="103"/>
      <c r="C60" s="123">
        <v>445000</v>
      </c>
      <c r="D60" s="136"/>
      <c r="E60" s="123"/>
      <c r="F60" s="124">
        <v>445000</v>
      </c>
      <c r="H60" s="102"/>
    </row>
    <row r="61" spans="1:8" ht="15">
      <c r="A61" s="134" t="s">
        <v>151</v>
      </c>
      <c r="B61" s="123"/>
      <c r="C61" s="123"/>
      <c r="D61" s="135">
        <v>248333</v>
      </c>
      <c r="E61" s="123"/>
      <c r="F61" s="124">
        <v>248333</v>
      </c>
      <c r="H61" s="102"/>
    </row>
    <row r="62" spans="1:8" ht="15">
      <c r="A62" s="134" t="s">
        <v>152</v>
      </c>
      <c r="B62" s="103"/>
      <c r="C62" s="103"/>
      <c r="D62" s="135"/>
      <c r="E62" s="123">
        <v>270000</v>
      </c>
      <c r="F62" s="124">
        <v>270000</v>
      </c>
      <c r="H62" s="115"/>
    </row>
    <row r="63" spans="1:8" ht="15" thickBot="1">
      <c r="A63" s="134"/>
      <c r="B63" s="103"/>
      <c r="C63" s="103"/>
      <c r="D63" s="137"/>
      <c r="E63" s="103"/>
      <c r="F63" s="124"/>
      <c r="H63" s="102"/>
    </row>
    <row r="64" spans="1:8" ht="15" thickBot="1">
      <c r="A64" s="138" t="s">
        <v>153</v>
      </c>
      <c r="B64" s="139">
        <v>445000</v>
      </c>
      <c r="C64" s="139">
        <v>445000</v>
      </c>
      <c r="D64" s="139">
        <v>248333</v>
      </c>
      <c r="E64" s="139">
        <v>270000</v>
      </c>
      <c r="F64" s="140">
        <v>1408333</v>
      </c>
      <c r="H64" s="115"/>
    </row>
    <row r="65" spans="1:8" ht="15">
      <c r="A65" s="117"/>
      <c r="B65" s="115"/>
      <c r="C65" s="115"/>
      <c r="D65" s="115"/>
      <c r="E65" s="115"/>
      <c r="F65" s="115"/>
      <c r="G65" s="115"/>
      <c r="H65" s="113"/>
    </row>
  </sheetData>
  <sheetProtection/>
  <mergeCells count="1">
    <mergeCell ref="G4:H4"/>
  </mergeCells>
  <printOptions horizontalCentered="1"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53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22"/>
  <sheetViews>
    <sheetView zoomScale="75" zoomScaleNormal="75" zoomScalePageLayoutView="0" workbookViewId="0" topLeftCell="A1">
      <selection activeCell="A64" sqref="A64"/>
    </sheetView>
  </sheetViews>
  <sheetFormatPr defaultColWidth="9.140625" defaultRowHeight="12.75"/>
  <cols>
    <col min="1" max="1" width="24.00390625" style="241" customWidth="1"/>
    <col min="2" max="2" width="17.7109375" style="241" customWidth="1"/>
    <col min="3" max="4" width="16.00390625" style="241" customWidth="1"/>
    <col min="5" max="5" width="15.8515625" style="241" customWidth="1"/>
    <col min="6" max="6" width="16.00390625" style="241" customWidth="1"/>
    <col min="7" max="7" width="15.7109375" style="241" customWidth="1"/>
    <col min="8" max="8" width="15.421875" style="241" customWidth="1"/>
    <col min="9" max="9" width="16.140625" style="241" customWidth="1"/>
    <col min="10" max="10" width="14.7109375" style="241" customWidth="1"/>
    <col min="11" max="11" width="17.7109375" style="241" customWidth="1"/>
    <col min="12" max="12" width="14.8515625" style="241" customWidth="1"/>
    <col min="13" max="13" width="16.00390625" style="241" customWidth="1"/>
    <col min="14" max="14" width="16.8515625" style="241" customWidth="1"/>
    <col min="15" max="15" width="16.140625" style="241" bestFit="1" customWidth="1"/>
    <col min="16" max="16" width="14.8515625" style="241" bestFit="1" customWidth="1"/>
    <col min="17" max="17" width="16.140625" style="241" bestFit="1" customWidth="1"/>
    <col min="18" max="18" width="14.8515625" style="241" bestFit="1" customWidth="1"/>
    <col min="19" max="19" width="15.00390625" style="241" hidden="1" customWidth="1"/>
    <col min="20" max="16384" width="9.140625" style="241" customWidth="1"/>
  </cols>
  <sheetData>
    <row r="2" spans="1:18" ht="21">
      <c r="A2" s="238" t="s">
        <v>528</v>
      </c>
      <c r="B2" s="239"/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  <c r="N2" s="240"/>
      <c r="O2" s="240"/>
      <c r="P2" s="239"/>
      <c r="Q2" s="239"/>
      <c r="R2" s="239"/>
    </row>
    <row r="4" spans="10:19" ht="15" thickBot="1">
      <c r="J4" s="242"/>
      <c r="K4" s="242"/>
      <c r="L4" s="242"/>
      <c r="M4" s="242"/>
      <c r="N4" s="243" t="s">
        <v>529</v>
      </c>
      <c r="R4" s="244"/>
      <c r="S4" s="242" t="s">
        <v>530</v>
      </c>
    </row>
    <row r="5" spans="1:19" ht="33.75" customHeight="1">
      <c r="A5" s="245" t="s">
        <v>531</v>
      </c>
      <c r="B5" s="246" t="s">
        <v>532</v>
      </c>
      <c r="C5" s="247"/>
      <c r="D5" s="247"/>
      <c r="E5" s="248"/>
      <c r="F5" s="247"/>
      <c r="G5" s="247"/>
      <c r="H5" s="247"/>
      <c r="I5" s="247"/>
      <c r="J5" s="249"/>
      <c r="K5" s="249"/>
      <c r="L5" s="249"/>
      <c r="M5" s="249"/>
      <c r="N5" s="249"/>
      <c r="S5" s="249"/>
    </row>
    <row r="6" spans="1:19" ht="30" customHeight="1">
      <c r="A6" s="250"/>
      <c r="B6" s="251" t="s">
        <v>533</v>
      </c>
      <c r="C6" s="252" t="s">
        <v>534</v>
      </c>
      <c r="D6" s="253"/>
      <c r="E6" s="253"/>
      <c r="F6" s="253"/>
      <c r="G6" s="253"/>
      <c r="H6" s="253"/>
      <c r="I6" s="253"/>
      <c r="J6" s="254"/>
      <c r="K6" s="254"/>
      <c r="L6" s="254"/>
      <c r="M6" s="254"/>
      <c r="N6" s="254"/>
      <c r="S6" s="254"/>
    </row>
    <row r="7" spans="1:19" ht="29.25" customHeight="1" thickBot="1">
      <c r="A7" s="250"/>
      <c r="B7" s="250"/>
      <c r="C7" s="255" t="s">
        <v>535</v>
      </c>
      <c r="D7" s="256" t="s">
        <v>79</v>
      </c>
      <c r="E7" s="256" t="s">
        <v>80</v>
      </c>
      <c r="F7" s="256" t="s">
        <v>81</v>
      </c>
      <c r="G7" s="256" t="s">
        <v>82</v>
      </c>
      <c r="H7" s="256" t="s">
        <v>83</v>
      </c>
      <c r="I7" s="256" t="s">
        <v>84</v>
      </c>
      <c r="J7" s="256" t="s">
        <v>85</v>
      </c>
      <c r="K7" s="256" t="s">
        <v>86</v>
      </c>
      <c r="L7" s="256" t="s">
        <v>96</v>
      </c>
      <c r="M7" s="256" t="s">
        <v>97</v>
      </c>
      <c r="N7" s="257" t="s">
        <v>155</v>
      </c>
      <c r="S7" s="258" t="s">
        <v>86</v>
      </c>
    </row>
    <row r="8" spans="1:19" ht="13.5" thickBot="1">
      <c r="A8" s="259" t="s">
        <v>0</v>
      </c>
      <c r="B8" s="259">
        <v>1</v>
      </c>
      <c r="C8" s="260">
        <v>2</v>
      </c>
      <c r="D8" s="261">
        <v>3</v>
      </c>
      <c r="E8" s="261">
        <v>4</v>
      </c>
      <c r="F8" s="261">
        <v>5</v>
      </c>
      <c r="G8" s="261">
        <v>6</v>
      </c>
      <c r="H8" s="261">
        <v>7</v>
      </c>
      <c r="I8" s="261">
        <v>8</v>
      </c>
      <c r="J8" s="261">
        <v>9</v>
      </c>
      <c r="K8" s="261">
        <v>10</v>
      </c>
      <c r="L8" s="261">
        <v>11</v>
      </c>
      <c r="M8" s="261">
        <v>12</v>
      </c>
      <c r="N8" s="262">
        <v>13</v>
      </c>
      <c r="S8" s="262">
        <v>20</v>
      </c>
    </row>
    <row r="9" spans="1:19" ht="36.75" customHeight="1">
      <c r="A9" s="263" t="s">
        <v>536</v>
      </c>
      <c r="B9" s="264">
        <v>119302726</v>
      </c>
      <c r="C9" s="265">
        <v>7433560</v>
      </c>
      <c r="D9" s="266">
        <v>9694272</v>
      </c>
      <c r="E9" s="266">
        <v>9094152</v>
      </c>
      <c r="F9" s="266">
        <v>10057790</v>
      </c>
      <c r="G9" s="266">
        <v>10297171</v>
      </c>
      <c r="H9" s="266">
        <v>8105979</v>
      </c>
      <c r="I9" s="266">
        <v>9896131</v>
      </c>
      <c r="J9" s="266">
        <v>8129413</v>
      </c>
      <c r="K9" s="266">
        <v>7621937</v>
      </c>
      <c r="L9" s="266">
        <v>8194299</v>
      </c>
      <c r="M9" s="266">
        <v>10997308</v>
      </c>
      <c r="N9" s="267">
        <v>16716252</v>
      </c>
      <c r="S9" s="267">
        <v>4184888</v>
      </c>
    </row>
    <row r="10" spans="1:19" ht="23.25" customHeight="1" thickBot="1">
      <c r="A10" s="268"/>
      <c r="B10" s="269"/>
      <c r="C10" s="270"/>
      <c r="D10" s="271"/>
      <c r="E10" s="271"/>
      <c r="F10" s="271"/>
      <c r="G10" s="271"/>
      <c r="H10" s="271"/>
      <c r="I10" s="271"/>
      <c r="J10" s="271"/>
      <c r="K10" s="271"/>
      <c r="L10" s="271"/>
      <c r="M10" s="271"/>
      <c r="N10" s="272"/>
      <c r="S10" s="272" t="s">
        <v>537</v>
      </c>
    </row>
    <row r="14" spans="10:14" ht="15" thickBot="1">
      <c r="J14" s="242"/>
      <c r="K14" s="242"/>
      <c r="L14" s="242"/>
      <c r="M14" s="242"/>
      <c r="N14" s="243" t="s">
        <v>529</v>
      </c>
    </row>
    <row r="15" spans="1:14" ht="34.5" customHeight="1">
      <c r="A15" s="245" t="s">
        <v>531</v>
      </c>
      <c r="B15" s="246" t="s">
        <v>538</v>
      </c>
      <c r="C15" s="247"/>
      <c r="D15" s="247"/>
      <c r="E15" s="248"/>
      <c r="F15" s="247"/>
      <c r="G15" s="247"/>
      <c r="H15" s="247"/>
      <c r="I15" s="247"/>
      <c r="J15" s="249"/>
      <c r="K15" s="249"/>
      <c r="L15" s="249"/>
      <c r="M15" s="249"/>
      <c r="N15" s="249"/>
    </row>
    <row r="16" spans="1:14" ht="30" customHeight="1">
      <c r="A16" s="250"/>
      <c r="B16" s="251" t="s">
        <v>533</v>
      </c>
      <c r="C16" s="252" t="s">
        <v>534</v>
      </c>
      <c r="D16" s="253"/>
      <c r="E16" s="253"/>
      <c r="F16" s="253"/>
      <c r="G16" s="253"/>
      <c r="H16" s="253"/>
      <c r="I16" s="253"/>
      <c r="J16" s="254"/>
      <c r="K16" s="254"/>
      <c r="L16" s="254"/>
      <c r="M16" s="254"/>
      <c r="N16" s="254"/>
    </row>
    <row r="17" spans="1:14" ht="30" customHeight="1" thickBot="1">
      <c r="A17" s="250"/>
      <c r="B17" s="251"/>
      <c r="C17" s="273" t="s">
        <v>535</v>
      </c>
      <c r="D17" s="274" t="s">
        <v>79</v>
      </c>
      <c r="E17" s="274" t="s">
        <v>80</v>
      </c>
      <c r="F17" s="274" t="s">
        <v>81</v>
      </c>
      <c r="G17" s="274" t="s">
        <v>82</v>
      </c>
      <c r="H17" s="274" t="s">
        <v>83</v>
      </c>
      <c r="I17" s="274" t="s">
        <v>84</v>
      </c>
      <c r="J17" s="274" t="s">
        <v>85</v>
      </c>
      <c r="K17" s="274" t="s">
        <v>86</v>
      </c>
      <c r="L17" s="274" t="s">
        <v>96</v>
      </c>
      <c r="M17" s="256" t="s">
        <v>97</v>
      </c>
      <c r="N17" s="257" t="s">
        <v>155</v>
      </c>
    </row>
    <row r="18" spans="1:14" ht="13.5" thickBot="1">
      <c r="A18" s="259" t="s">
        <v>0</v>
      </c>
      <c r="B18" s="259">
        <v>1</v>
      </c>
      <c r="C18" s="260">
        <v>2</v>
      </c>
      <c r="D18" s="261">
        <v>3</v>
      </c>
      <c r="E18" s="261">
        <v>4</v>
      </c>
      <c r="F18" s="261">
        <v>5</v>
      </c>
      <c r="G18" s="261">
        <v>6</v>
      </c>
      <c r="H18" s="261">
        <v>7</v>
      </c>
      <c r="I18" s="261">
        <v>8</v>
      </c>
      <c r="J18" s="261">
        <v>9</v>
      </c>
      <c r="K18" s="261">
        <v>10</v>
      </c>
      <c r="L18" s="261">
        <v>11</v>
      </c>
      <c r="M18" s="261">
        <v>12</v>
      </c>
      <c r="N18" s="262">
        <v>13</v>
      </c>
    </row>
    <row r="19" spans="1:14" ht="37.5" customHeight="1">
      <c r="A19" s="263" t="s">
        <v>536</v>
      </c>
      <c r="B19" s="264">
        <v>113711000</v>
      </c>
      <c r="C19" s="265">
        <v>8606667</v>
      </c>
      <c r="D19" s="266">
        <v>8662870</v>
      </c>
      <c r="E19" s="266">
        <v>8342284</v>
      </c>
      <c r="F19" s="266">
        <v>9988998</v>
      </c>
      <c r="G19" s="266">
        <v>8359113</v>
      </c>
      <c r="H19" s="266">
        <v>8434884</v>
      </c>
      <c r="I19" s="266">
        <v>9373749</v>
      </c>
      <c r="J19" s="266">
        <v>8421462</v>
      </c>
      <c r="K19" s="266">
        <v>8500459</v>
      </c>
      <c r="L19" s="266">
        <v>8702050</v>
      </c>
      <c r="M19" s="266">
        <v>8335463</v>
      </c>
      <c r="N19" s="267">
        <v>16908446</v>
      </c>
    </row>
    <row r="20" spans="1:14" ht="23.25" customHeight="1" thickBot="1">
      <c r="A20" s="268"/>
      <c r="B20" s="269"/>
      <c r="C20" s="270"/>
      <c r="D20" s="271"/>
      <c r="E20" s="271"/>
      <c r="F20" s="271"/>
      <c r="G20" s="271"/>
      <c r="H20" s="271"/>
      <c r="I20" s="271"/>
      <c r="J20" s="271"/>
      <c r="K20" s="271"/>
      <c r="L20" s="271"/>
      <c r="M20" s="271"/>
      <c r="N20" s="272"/>
    </row>
    <row r="22" ht="12.75">
      <c r="A22" s="275"/>
    </row>
  </sheetData>
  <sheetProtection/>
  <printOptions horizontalCentered="1"/>
  <pageMargins left="0.3937007874015748" right="0.3937007874015748" top="0.7874015748031497" bottom="0.7874015748031497" header="0.5118110236220472" footer="0.5118110236220472"/>
  <pageSetup fitToHeight="1" fitToWidth="1" horizontalDpi="600" verticalDpi="600" orientation="landscape" paperSize="9" scale="48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8"/>
  <sheetViews>
    <sheetView zoomScalePageLayoutView="0" workbookViewId="0" topLeftCell="A1">
      <selection activeCell="A64" sqref="A64"/>
    </sheetView>
  </sheetViews>
  <sheetFormatPr defaultColWidth="9.140625" defaultRowHeight="12.75"/>
  <cols>
    <col min="1" max="1" width="2.421875" style="141" customWidth="1"/>
    <col min="2" max="2" width="28.7109375" style="141" customWidth="1"/>
    <col min="3" max="3" width="16.7109375" style="141" customWidth="1"/>
    <col min="4" max="4" width="15.140625" style="141" customWidth="1"/>
    <col min="5" max="7" width="16.7109375" style="141" customWidth="1"/>
    <col min="8" max="8" width="17.7109375" style="141" customWidth="1"/>
    <col min="9" max="9" width="15.28125" style="141" customWidth="1"/>
    <col min="10" max="10" width="17.7109375" style="141" customWidth="1"/>
    <col min="11" max="16384" width="9.140625" style="141" customWidth="1"/>
  </cols>
  <sheetData>
    <row r="1" spans="1:10" ht="17.25">
      <c r="A1" s="276"/>
      <c r="B1" s="277"/>
      <c r="C1" s="276"/>
      <c r="D1" s="276"/>
      <c r="E1" s="276"/>
      <c r="F1" s="276"/>
      <c r="G1" s="276"/>
      <c r="H1" s="276"/>
      <c r="I1" s="276"/>
      <c r="J1" s="276"/>
    </row>
    <row r="2" spans="1:10" ht="15">
      <c r="A2" s="276"/>
      <c r="B2" s="278" t="s">
        <v>539</v>
      </c>
      <c r="C2" s="279"/>
      <c r="D2" s="279"/>
      <c r="E2" s="279"/>
      <c r="F2" s="279"/>
      <c r="G2" s="279"/>
      <c r="H2" s="279"/>
      <c r="I2" s="279"/>
      <c r="J2" s="279"/>
    </row>
    <row r="3" spans="1:10" ht="15">
      <c r="A3" s="276"/>
      <c r="B3" s="278"/>
      <c r="C3" s="279"/>
      <c r="D3" s="279"/>
      <c r="E3" s="279"/>
      <c r="F3" s="279"/>
      <c r="G3" s="279"/>
      <c r="H3" s="279"/>
      <c r="I3" s="279"/>
      <c r="J3" s="279"/>
    </row>
    <row r="4" spans="1:10" ht="12.75">
      <c r="A4" s="276"/>
      <c r="B4" s="280"/>
      <c r="C4" s="281"/>
      <c r="D4" s="281"/>
      <c r="E4" s="281"/>
      <c r="F4" s="281"/>
      <c r="G4" s="281"/>
      <c r="H4" s="282"/>
      <c r="I4" s="282"/>
      <c r="J4" s="282"/>
    </row>
    <row r="5" spans="1:10" ht="13.5" thickBot="1">
      <c r="A5" s="276"/>
      <c r="B5" s="276"/>
      <c r="C5" s="276"/>
      <c r="D5" s="276"/>
      <c r="E5" s="276"/>
      <c r="F5" s="276"/>
      <c r="G5" s="276"/>
      <c r="H5" s="276"/>
      <c r="I5" s="276"/>
      <c r="J5" s="283" t="s">
        <v>529</v>
      </c>
    </row>
    <row r="6" spans="1:10" ht="14.25" thickBot="1">
      <c r="A6" s="276"/>
      <c r="B6" s="284" t="s">
        <v>540</v>
      </c>
      <c r="C6" s="285" t="s">
        <v>541</v>
      </c>
      <c r="D6" s="286" t="s">
        <v>542</v>
      </c>
      <c r="E6" s="286" t="s">
        <v>543</v>
      </c>
      <c r="F6" s="286" t="s">
        <v>544</v>
      </c>
      <c r="G6" s="287" t="s">
        <v>545</v>
      </c>
      <c r="H6" s="288" t="s">
        <v>546</v>
      </c>
      <c r="I6" s="288" t="s">
        <v>547</v>
      </c>
      <c r="J6" s="288" t="s">
        <v>548</v>
      </c>
    </row>
    <row r="7" spans="1:10" ht="13.5" customHeight="1">
      <c r="A7" s="276"/>
      <c r="B7" s="289" t="s">
        <v>549</v>
      </c>
      <c r="C7" s="290">
        <v>0</v>
      </c>
      <c r="D7" s="291">
        <v>0</v>
      </c>
      <c r="E7" s="291">
        <v>0</v>
      </c>
      <c r="F7" s="291">
        <v>0</v>
      </c>
      <c r="G7" s="292">
        <v>0</v>
      </c>
      <c r="H7" s="293">
        <v>0</v>
      </c>
      <c r="I7" s="293">
        <v>0</v>
      </c>
      <c r="J7" s="293">
        <v>0</v>
      </c>
    </row>
    <row r="8" spans="1:10" ht="13.5" customHeight="1">
      <c r="A8" s="276"/>
      <c r="B8" s="294" t="s">
        <v>550</v>
      </c>
      <c r="C8" s="295">
        <v>1175911</v>
      </c>
      <c r="D8" s="296">
        <v>19736863</v>
      </c>
      <c r="E8" s="296">
        <v>26858273</v>
      </c>
      <c r="F8" s="296">
        <v>81500</v>
      </c>
      <c r="G8" s="297">
        <v>1159120</v>
      </c>
      <c r="H8" s="298">
        <f>SUM(C8:G8)</f>
        <v>49011667</v>
      </c>
      <c r="I8" s="298">
        <v>3404000</v>
      </c>
      <c r="J8" s="298">
        <f>SUM(H8+I8)</f>
        <v>52415667</v>
      </c>
    </row>
    <row r="9" spans="1:10" ht="13.5" customHeight="1">
      <c r="A9" s="276"/>
      <c r="B9" s="299" t="s">
        <v>551</v>
      </c>
      <c r="C9" s="295">
        <v>1423565</v>
      </c>
      <c r="D9" s="296">
        <v>20708242</v>
      </c>
      <c r="E9" s="296">
        <v>26392596</v>
      </c>
      <c r="F9" s="296">
        <v>89056</v>
      </c>
      <c r="G9" s="297">
        <v>2146233</v>
      </c>
      <c r="H9" s="293">
        <f>SUM(C9:G9)</f>
        <v>50759692</v>
      </c>
      <c r="I9" s="300">
        <v>1227046.9</v>
      </c>
      <c r="J9" s="293">
        <f>SUM(H9+I9)</f>
        <v>51986738.9</v>
      </c>
    </row>
    <row r="10" spans="1:10" ht="13.5" customHeight="1">
      <c r="A10" s="276"/>
      <c r="B10" s="299" t="s">
        <v>552</v>
      </c>
      <c r="C10" s="301">
        <v>121.06060322592442</v>
      </c>
      <c r="D10" s="302">
        <v>104.92164626161717</v>
      </c>
      <c r="E10" s="302">
        <v>98.26616774652635</v>
      </c>
      <c r="F10" s="302">
        <v>109.27073619631902</v>
      </c>
      <c r="G10" s="303">
        <v>185.16059424390917</v>
      </c>
      <c r="H10" s="304">
        <f>H9/H8*100</f>
        <v>103.56654875664604</v>
      </c>
      <c r="I10" s="304">
        <v>36.0472</v>
      </c>
      <c r="J10" s="304">
        <f>J9/J8*100</f>
        <v>99.181679592096</v>
      </c>
    </row>
    <row r="11" spans="1:10" ht="13.5" customHeight="1">
      <c r="A11" s="276"/>
      <c r="B11" s="305" t="s">
        <v>553</v>
      </c>
      <c r="C11" s="306">
        <v>0</v>
      </c>
      <c r="D11" s="307">
        <v>0</v>
      </c>
      <c r="E11" s="307">
        <v>0</v>
      </c>
      <c r="F11" s="307">
        <v>0</v>
      </c>
      <c r="G11" s="308">
        <v>0</v>
      </c>
      <c r="H11" s="309">
        <v>0</v>
      </c>
      <c r="I11" s="309">
        <v>0</v>
      </c>
      <c r="J11" s="309">
        <v>0</v>
      </c>
    </row>
    <row r="12" spans="1:10" ht="13.5" customHeight="1">
      <c r="A12" s="276"/>
      <c r="B12" s="294" t="s">
        <v>550</v>
      </c>
      <c r="C12" s="295">
        <v>96725</v>
      </c>
      <c r="D12" s="296">
        <v>38275</v>
      </c>
      <c r="E12" s="296">
        <v>0</v>
      </c>
      <c r="F12" s="296">
        <v>0</v>
      </c>
      <c r="G12" s="297">
        <v>0</v>
      </c>
      <c r="H12" s="298">
        <f>SUM(C12:G12)</f>
        <v>135000</v>
      </c>
      <c r="I12" s="298">
        <v>0</v>
      </c>
      <c r="J12" s="298">
        <f>SUM(H12+I12)</f>
        <v>135000</v>
      </c>
    </row>
    <row r="13" spans="1:10" ht="13.5" customHeight="1">
      <c r="A13" s="276"/>
      <c r="B13" s="299" t="s">
        <v>551</v>
      </c>
      <c r="C13" s="295">
        <v>93458</v>
      </c>
      <c r="D13" s="296">
        <v>74960</v>
      </c>
      <c r="E13" s="296">
        <v>0</v>
      </c>
      <c r="F13" s="296">
        <v>0</v>
      </c>
      <c r="G13" s="297">
        <v>0</v>
      </c>
      <c r="H13" s="293">
        <f>SUM(C13:G13)</f>
        <v>168418</v>
      </c>
      <c r="I13" s="293">
        <v>0</v>
      </c>
      <c r="J13" s="293">
        <f>SUM(H13+I13)</f>
        <v>168418</v>
      </c>
    </row>
    <row r="14" spans="1:10" ht="13.5" customHeight="1">
      <c r="A14" s="276"/>
      <c r="B14" s="299" t="s">
        <v>552</v>
      </c>
      <c r="C14" s="301">
        <v>96.62246575342466</v>
      </c>
      <c r="D14" s="302">
        <v>195.84546048334423</v>
      </c>
      <c r="E14" s="302"/>
      <c r="F14" s="302"/>
      <c r="G14" s="303"/>
      <c r="H14" s="304">
        <f>H13/H12*100</f>
        <v>124.75407407407408</v>
      </c>
      <c r="I14" s="304">
        <v>0</v>
      </c>
      <c r="J14" s="304">
        <f>J13/J12*100</f>
        <v>124.75407407407408</v>
      </c>
    </row>
    <row r="15" spans="1:10" ht="13.5" customHeight="1">
      <c r="A15" s="276"/>
      <c r="B15" s="305" t="s">
        <v>554</v>
      </c>
      <c r="C15" s="306">
        <v>0</v>
      </c>
      <c r="D15" s="307">
        <v>0</v>
      </c>
      <c r="E15" s="307">
        <v>0</v>
      </c>
      <c r="F15" s="307">
        <v>0</v>
      </c>
      <c r="G15" s="308">
        <v>0</v>
      </c>
      <c r="H15" s="309">
        <v>0</v>
      </c>
      <c r="I15" s="309">
        <v>0</v>
      </c>
      <c r="J15" s="309">
        <v>0</v>
      </c>
    </row>
    <row r="16" spans="1:10" ht="13.5" customHeight="1">
      <c r="A16" s="276"/>
      <c r="B16" s="294" t="s">
        <v>550</v>
      </c>
      <c r="C16" s="295">
        <v>66981</v>
      </c>
      <c r="D16" s="296">
        <v>25954</v>
      </c>
      <c r="E16" s="296">
        <v>547</v>
      </c>
      <c r="F16" s="296">
        <v>468</v>
      </c>
      <c r="G16" s="297">
        <v>0</v>
      </c>
      <c r="H16" s="298">
        <f>SUM(C16:G16)</f>
        <v>93950</v>
      </c>
      <c r="I16" s="298">
        <v>0</v>
      </c>
      <c r="J16" s="298">
        <f>SUM(H16+I16)</f>
        <v>93950</v>
      </c>
    </row>
    <row r="17" spans="1:10" ht="13.5" customHeight="1">
      <c r="A17" s="276"/>
      <c r="B17" s="299" t="s">
        <v>551</v>
      </c>
      <c r="C17" s="295">
        <v>38484</v>
      </c>
      <c r="D17" s="296">
        <v>16229</v>
      </c>
      <c r="E17" s="296">
        <v>507</v>
      </c>
      <c r="F17" s="296">
        <v>11</v>
      </c>
      <c r="G17" s="297">
        <v>0</v>
      </c>
      <c r="H17" s="293">
        <f>SUM(C17:G17)</f>
        <v>55231</v>
      </c>
      <c r="I17" s="293">
        <v>0</v>
      </c>
      <c r="J17" s="293">
        <f>SUM(H17+I17)</f>
        <v>55231</v>
      </c>
    </row>
    <row r="18" spans="1:10" ht="13.5" customHeight="1">
      <c r="A18" s="276"/>
      <c r="B18" s="299" t="s">
        <v>552</v>
      </c>
      <c r="C18" s="301">
        <v>57.454531882175544</v>
      </c>
      <c r="D18" s="302">
        <v>62.53147877013178</v>
      </c>
      <c r="E18" s="302">
        <v>92.75319926873857</v>
      </c>
      <c r="F18" s="302">
        <v>2.3504273504273505</v>
      </c>
      <c r="G18" s="303"/>
      <c r="H18" s="304">
        <f>H17/H16*100</f>
        <v>58.787653006918575</v>
      </c>
      <c r="I18" s="304">
        <v>0</v>
      </c>
      <c r="J18" s="304">
        <f>J17/J16*100</f>
        <v>58.787653006918575</v>
      </c>
    </row>
    <row r="19" spans="1:10" ht="13.5" customHeight="1">
      <c r="A19" s="276"/>
      <c r="B19" s="305" t="s">
        <v>555</v>
      </c>
      <c r="C19" s="306">
        <v>0</v>
      </c>
      <c r="D19" s="307">
        <v>0</v>
      </c>
      <c r="E19" s="307">
        <v>0</v>
      </c>
      <c r="F19" s="307">
        <v>0</v>
      </c>
      <c r="G19" s="308">
        <v>0</v>
      </c>
      <c r="H19" s="309">
        <v>0</v>
      </c>
      <c r="I19" s="309">
        <v>0</v>
      </c>
      <c r="J19" s="309">
        <v>0</v>
      </c>
    </row>
    <row r="20" spans="1:10" ht="13.5" customHeight="1">
      <c r="A20" s="276"/>
      <c r="B20" s="294" t="s">
        <v>550</v>
      </c>
      <c r="C20" s="295">
        <v>29937</v>
      </c>
      <c r="D20" s="296">
        <v>14790</v>
      </c>
      <c r="E20" s="296">
        <v>375</v>
      </c>
      <c r="F20" s="296">
        <v>348</v>
      </c>
      <c r="G20" s="297">
        <v>0</v>
      </c>
      <c r="H20" s="298">
        <f>SUM(C20:G20)</f>
        <v>45450</v>
      </c>
      <c r="I20" s="298">
        <v>0</v>
      </c>
      <c r="J20" s="298">
        <f>SUM(H20+I20)</f>
        <v>45450</v>
      </c>
    </row>
    <row r="21" spans="1:10" ht="13.5" customHeight="1">
      <c r="A21" s="276"/>
      <c r="B21" s="299" t="s">
        <v>551</v>
      </c>
      <c r="C21" s="295">
        <v>21086</v>
      </c>
      <c r="D21" s="296">
        <v>6478</v>
      </c>
      <c r="E21" s="296">
        <v>314</v>
      </c>
      <c r="F21" s="296">
        <v>15</v>
      </c>
      <c r="G21" s="297">
        <v>0</v>
      </c>
      <c r="H21" s="293">
        <f>SUM(C21:G21)</f>
        <v>27893</v>
      </c>
      <c r="I21" s="293">
        <v>0</v>
      </c>
      <c r="J21" s="293">
        <f>SUM(H21+I21)</f>
        <v>27893</v>
      </c>
    </row>
    <row r="22" spans="1:10" ht="13.5" customHeight="1">
      <c r="A22" s="276"/>
      <c r="B22" s="299" t="s">
        <v>552</v>
      </c>
      <c r="C22" s="301">
        <v>70.43494672144838</v>
      </c>
      <c r="D22" s="302">
        <v>43.80290736984449</v>
      </c>
      <c r="E22" s="302">
        <v>83.71466666666667</v>
      </c>
      <c r="F22" s="302">
        <v>4.192528735632184</v>
      </c>
      <c r="G22" s="303"/>
      <c r="H22" s="304">
        <f>H21/H20*100</f>
        <v>61.370737073707375</v>
      </c>
      <c r="I22" s="304">
        <v>0</v>
      </c>
      <c r="J22" s="304">
        <f>J21/J20*100</f>
        <v>61.370737073707375</v>
      </c>
    </row>
    <row r="23" spans="1:10" ht="13.5" customHeight="1">
      <c r="A23" s="276"/>
      <c r="B23" s="305" t="s">
        <v>556</v>
      </c>
      <c r="C23" s="306">
        <v>0</v>
      </c>
      <c r="D23" s="307">
        <v>0</v>
      </c>
      <c r="E23" s="307">
        <v>0</v>
      </c>
      <c r="F23" s="307">
        <v>0</v>
      </c>
      <c r="G23" s="308">
        <v>0</v>
      </c>
      <c r="H23" s="309">
        <v>0</v>
      </c>
      <c r="I23" s="309">
        <v>0</v>
      </c>
      <c r="J23" s="309">
        <v>0</v>
      </c>
    </row>
    <row r="24" spans="1:10" ht="13.5" customHeight="1">
      <c r="A24" s="276"/>
      <c r="B24" s="294" t="s">
        <v>550</v>
      </c>
      <c r="C24" s="295">
        <v>0</v>
      </c>
      <c r="D24" s="296">
        <v>2000</v>
      </c>
      <c r="E24" s="296">
        <v>101400</v>
      </c>
      <c r="F24" s="296">
        <v>0</v>
      </c>
      <c r="G24" s="297">
        <v>0</v>
      </c>
      <c r="H24" s="298">
        <f>SUM(C24:G24)</f>
        <v>103400</v>
      </c>
      <c r="I24" s="298">
        <v>0</v>
      </c>
      <c r="J24" s="298">
        <f>SUM(H24+I24)</f>
        <v>103400</v>
      </c>
    </row>
    <row r="25" spans="1:10" ht="13.5" customHeight="1">
      <c r="A25" s="276"/>
      <c r="B25" s="299" t="s">
        <v>551</v>
      </c>
      <c r="C25" s="295">
        <v>0</v>
      </c>
      <c r="D25" s="296">
        <v>1063</v>
      </c>
      <c r="E25" s="296">
        <v>101197</v>
      </c>
      <c r="F25" s="296">
        <v>0</v>
      </c>
      <c r="G25" s="297">
        <v>0</v>
      </c>
      <c r="H25" s="293">
        <f>SUM(C25:G25)</f>
        <v>102260</v>
      </c>
      <c r="I25" s="293">
        <v>0</v>
      </c>
      <c r="J25" s="293">
        <f>SUM(H25+I25)</f>
        <v>102260</v>
      </c>
    </row>
    <row r="26" spans="1:10" ht="13.5" customHeight="1" thickBot="1">
      <c r="A26" s="276"/>
      <c r="B26" s="310" t="s">
        <v>552</v>
      </c>
      <c r="C26" s="311"/>
      <c r="D26" s="302">
        <v>53.15599999999999</v>
      </c>
      <c r="E26" s="302">
        <v>99.79995069033531</v>
      </c>
      <c r="F26" s="302"/>
      <c r="G26" s="303"/>
      <c r="H26" s="304">
        <f>H25/H24*100</f>
        <v>98.89748549323018</v>
      </c>
      <c r="I26" s="304">
        <v>0</v>
      </c>
      <c r="J26" s="304">
        <f>J25/J24*100</f>
        <v>98.89748549323018</v>
      </c>
    </row>
    <row r="27" spans="1:10" ht="13.5" customHeight="1">
      <c r="A27" s="276"/>
      <c r="B27" s="312" t="s">
        <v>557</v>
      </c>
      <c r="C27" s="295">
        <v>0</v>
      </c>
      <c r="D27" s="313">
        <v>0</v>
      </c>
      <c r="E27" s="313">
        <v>0</v>
      </c>
      <c r="F27" s="313">
        <v>0</v>
      </c>
      <c r="G27" s="314">
        <v>0</v>
      </c>
      <c r="H27" s="315">
        <v>0</v>
      </c>
      <c r="I27" s="316">
        <v>0</v>
      </c>
      <c r="J27" s="316">
        <v>0</v>
      </c>
    </row>
    <row r="28" spans="1:10" ht="13.5" customHeight="1">
      <c r="A28" s="276"/>
      <c r="B28" s="294" t="s">
        <v>550</v>
      </c>
      <c r="C28" s="295">
        <f aca="true" t="shared" si="0" ref="C28:J28">SUM(C8+C12+C16+C20+C24)</f>
        <v>1369554</v>
      </c>
      <c r="D28" s="296">
        <f t="shared" si="0"/>
        <v>19817882</v>
      </c>
      <c r="E28" s="296">
        <f t="shared" si="0"/>
        <v>26960595</v>
      </c>
      <c r="F28" s="296">
        <f t="shared" si="0"/>
        <v>82316</v>
      </c>
      <c r="G28" s="297">
        <f t="shared" si="0"/>
        <v>1159120</v>
      </c>
      <c r="H28" s="317">
        <f t="shared" si="0"/>
        <v>49389467</v>
      </c>
      <c r="I28" s="297">
        <f t="shared" si="0"/>
        <v>3404000</v>
      </c>
      <c r="J28" s="298">
        <f t="shared" si="0"/>
        <v>52793467</v>
      </c>
    </row>
    <row r="29" spans="1:10" ht="13.5" customHeight="1">
      <c r="A29" s="276"/>
      <c r="B29" s="312" t="s">
        <v>551</v>
      </c>
      <c r="C29" s="290">
        <f aca="true" t="shared" si="1" ref="C29:I29">SUM(C9+C13+C17+C21+C25)</f>
        <v>1576593</v>
      </c>
      <c r="D29" s="291">
        <f t="shared" si="1"/>
        <v>20806972</v>
      </c>
      <c r="E29" s="291">
        <f t="shared" si="1"/>
        <v>26494614</v>
      </c>
      <c r="F29" s="291">
        <f t="shared" si="1"/>
        <v>89082</v>
      </c>
      <c r="G29" s="292">
        <f t="shared" si="1"/>
        <v>2146233</v>
      </c>
      <c r="H29" s="318">
        <f t="shared" si="1"/>
        <v>51113494</v>
      </c>
      <c r="I29" s="290">
        <f t="shared" si="1"/>
        <v>1227046.9</v>
      </c>
      <c r="J29" s="293">
        <f>SUM(H29:I29)</f>
        <v>52340540.9</v>
      </c>
    </row>
    <row r="30" spans="1:10" ht="13.5" customHeight="1" thickBot="1">
      <c r="A30" s="276"/>
      <c r="B30" s="310" t="s">
        <v>552</v>
      </c>
      <c r="C30" s="301">
        <f aca="true" t="shared" si="2" ref="C30:J30">C29/C28*100</f>
        <v>115.11725715086808</v>
      </c>
      <c r="D30" s="302">
        <f t="shared" si="2"/>
        <v>104.99089660539912</v>
      </c>
      <c r="E30" s="302">
        <f t="shared" si="2"/>
        <v>98.27162197273466</v>
      </c>
      <c r="F30" s="302">
        <f t="shared" si="2"/>
        <v>108.21954419553914</v>
      </c>
      <c r="G30" s="303">
        <f t="shared" si="2"/>
        <v>185.1605528331838</v>
      </c>
      <c r="H30" s="311">
        <f t="shared" si="2"/>
        <v>103.49067747582698</v>
      </c>
      <c r="I30" s="311">
        <f t="shared" si="2"/>
        <v>36.047206227967095</v>
      </c>
      <c r="J30" s="319">
        <f t="shared" si="2"/>
        <v>99.14207926522424</v>
      </c>
    </row>
    <row r="31" spans="1:10" ht="13.5" customHeight="1">
      <c r="A31" s="276"/>
      <c r="B31" s="312" t="s">
        <v>558</v>
      </c>
      <c r="C31" s="320">
        <v>0</v>
      </c>
      <c r="D31" s="313">
        <v>0</v>
      </c>
      <c r="E31" s="313">
        <v>0</v>
      </c>
      <c r="F31" s="313">
        <v>0</v>
      </c>
      <c r="G31" s="314">
        <v>0</v>
      </c>
      <c r="H31" s="317">
        <v>0</v>
      </c>
      <c r="I31" s="298">
        <v>0</v>
      </c>
      <c r="J31" s="298">
        <v>0</v>
      </c>
    </row>
    <row r="32" spans="1:10" ht="13.5" customHeight="1">
      <c r="A32" s="276"/>
      <c r="B32" s="294" t="s">
        <v>550</v>
      </c>
      <c r="C32" s="295">
        <v>2271598</v>
      </c>
      <c r="D32" s="296">
        <v>7069015</v>
      </c>
      <c r="E32" s="296">
        <v>49602114</v>
      </c>
      <c r="F32" s="296">
        <v>290148</v>
      </c>
      <c r="G32" s="297">
        <v>1684658</v>
      </c>
      <c r="H32" s="317">
        <f>SUM(C32:G32)</f>
        <v>60917533</v>
      </c>
      <c r="I32" s="298">
        <v>0</v>
      </c>
      <c r="J32" s="298">
        <f>SUM(H32:I32)</f>
        <v>60917533</v>
      </c>
    </row>
    <row r="33" spans="1:10" ht="13.5" customHeight="1">
      <c r="A33" s="276"/>
      <c r="B33" s="312" t="s">
        <v>551</v>
      </c>
      <c r="C33" s="290">
        <v>2399302.52</v>
      </c>
      <c r="D33" s="291">
        <v>7617418.859999999</v>
      </c>
      <c r="E33" s="291">
        <v>49489687.02</v>
      </c>
      <c r="F33" s="291">
        <v>214785.39</v>
      </c>
      <c r="G33" s="292">
        <v>574710.19</v>
      </c>
      <c r="H33" s="321">
        <f>SUM(C33:G33)</f>
        <v>60295903.980000004</v>
      </c>
      <c r="I33" s="293">
        <v>0</v>
      </c>
      <c r="J33" s="293">
        <f>SUM(H33:I33)</f>
        <v>60295903.980000004</v>
      </c>
    </row>
    <row r="34" spans="1:10" ht="13.5" customHeight="1" thickBot="1">
      <c r="A34" s="276"/>
      <c r="B34" s="310" t="s">
        <v>552</v>
      </c>
      <c r="C34" s="311">
        <v>105.62179223612628</v>
      </c>
      <c r="D34" s="322">
        <v>107.75785395843691</v>
      </c>
      <c r="E34" s="322">
        <v>99.77334236198078</v>
      </c>
      <c r="F34" s="322">
        <v>74.02614872409943</v>
      </c>
      <c r="G34" s="323">
        <v>34.1143537738817</v>
      </c>
      <c r="H34" s="324">
        <f>H33/H32*100</f>
        <v>98.97955647678643</v>
      </c>
      <c r="I34" s="311"/>
      <c r="J34" s="319">
        <f>J33/J32*100</f>
        <v>98.97955647678643</v>
      </c>
    </row>
    <row r="35" spans="1:10" ht="13.5" customHeight="1">
      <c r="A35" s="276"/>
      <c r="B35" s="312" t="s">
        <v>559</v>
      </c>
      <c r="C35" s="295">
        <v>0</v>
      </c>
      <c r="D35" s="296">
        <v>0</v>
      </c>
      <c r="E35" s="296">
        <v>0</v>
      </c>
      <c r="F35" s="296">
        <v>0</v>
      </c>
      <c r="G35" s="297">
        <v>0</v>
      </c>
      <c r="H35" s="317">
        <v>0</v>
      </c>
      <c r="I35" s="298">
        <v>0</v>
      </c>
      <c r="J35" s="298">
        <v>0</v>
      </c>
    </row>
    <row r="36" spans="1:10" ht="13.5" customHeight="1">
      <c r="A36" s="276"/>
      <c r="B36" s="294" t="s">
        <v>550</v>
      </c>
      <c r="C36" s="295">
        <f aca="true" t="shared" si="3" ref="C36:G37">SUM(C28+C32)</f>
        <v>3641152</v>
      </c>
      <c r="D36" s="296">
        <f t="shared" si="3"/>
        <v>26886897</v>
      </c>
      <c r="E36" s="296">
        <f t="shared" si="3"/>
        <v>76562709</v>
      </c>
      <c r="F36" s="296">
        <f t="shared" si="3"/>
        <v>372464</v>
      </c>
      <c r="G36" s="297">
        <f t="shared" si="3"/>
        <v>2843778</v>
      </c>
      <c r="H36" s="317">
        <f>SUM(C36:G36)</f>
        <v>110307000</v>
      </c>
      <c r="I36" s="298">
        <f>I28+I32</f>
        <v>3404000</v>
      </c>
      <c r="J36" s="298">
        <f>SUM(H36:I36)</f>
        <v>113711000</v>
      </c>
    </row>
    <row r="37" spans="1:10" ht="13.5" customHeight="1">
      <c r="A37" s="276"/>
      <c r="B37" s="312" t="s">
        <v>551</v>
      </c>
      <c r="C37" s="290">
        <f t="shared" si="3"/>
        <v>3975895.52</v>
      </c>
      <c r="D37" s="291">
        <f t="shared" si="3"/>
        <v>28424390.86</v>
      </c>
      <c r="E37" s="291">
        <f t="shared" si="3"/>
        <v>75984301.02000001</v>
      </c>
      <c r="F37" s="291">
        <f t="shared" si="3"/>
        <v>303867.39</v>
      </c>
      <c r="G37" s="292">
        <f t="shared" si="3"/>
        <v>2720943.19</v>
      </c>
      <c r="H37" s="321">
        <f>SUM(C37:G37)</f>
        <v>111409397.98</v>
      </c>
      <c r="I37" s="293">
        <f>I29+I33</f>
        <v>1227046.9</v>
      </c>
      <c r="J37" s="293">
        <f>SUM(H37:I37)</f>
        <v>112636444.88000001</v>
      </c>
    </row>
    <row r="38" spans="1:10" ht="13.5" customHeight="1" thickBot="1">
      <c r="A38" s="276"/>
      <c r="B38" s="310" t="s">
        <v>552</v>
      </c>
      <c r="C38" s="311">
        <f aca="true" t="shared" si="4" ref="C38:J38">C37/C36*100</f>
        <v>109.19334100855993</v>
      </c>
      <c r="D38" s="322">
        <f t="shared" si="4"/>
        <v>105.7183759806868</v>
      </c>
      <c r="E38" s="322">
        <f t="shared" si="4"/>
        <v>99.24453041493086</v>
      </c>
      <c r="F38" s="322">
        <f t="shared" si="4"/>
        <v>81.58302278877959</v>
      </c>
      <c r="G38" s="323">
        <f t="shared" si="4"/>
        <v>95.68057668355266</v>
      </c>
      <c r="H38" s="324">
        <f t="shared" si="4"/>
        <v>100.99939077302437</v>
      </c>
      <c r="I38" s="311">
        <f t="shared" si="4"/>
        <v>36.047206227967095</v>
      </c>
      <c r="J38" s="319">
        <f t="shared" si="4"/>
        <v>99.05501216241174</v>
      </c>
    </row>
  </sheetData>
  <sheetProtection/>
  <printOptions horizontalCentered="1"/>
  <pageMargins left="0.3937007874015748" right="0.3937007874015748" top="0.7874015748031497" bottom="0.7874015748031497" header="0.5118110236220472" footer="0.5118110236220472"/>
  <pageSetup fitToHeight="1" fitToWidth="1" horizontalDpi="600" verticalDpi="600" orientation="landscape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H1">
      <selection activeCell="A64" sqref="A64"/>
    </sheetView>
  </sheetViews>
  <sheetFormatPr defaultColWidth="9.140625" defaultRowHeight="12.75"/>
  <cols>
    <col min="1" max="16384" width="9.140625" style="487" customWidth="1"/>
  </cols>
  <sheetData/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6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96"/>
  <sheetViews>
    <sheetView zoomScale="75" zoomScaleNormal="75" zoomScalePageLayoutView="0" workbookViewId="0" topLeftCell="A1">
      <selection activeCell="A64" sqref="A64"/>
    </sheetView>
  </sheetViews>
  <sheetFormatPr defaultColWidth="9.140625" defaultRowHeight="12.75"/>
  <cols>
    <col min="1" max="1" width="15.8515625" style="325" customWidth="1"/>
    <col min="2" max="3" width="10.57421875" style="325" customWidth="1"/>
    <col min="4" max="4" width="9.8515625" style="325" customWidth="1"/>
    <col min="5" max="5" width="9.28125" style="325" customWidth="1"/>
    <col min="6" max="6" width="73.7109375" style="325" customWidth="1"/>
    <col min="7" max="7" width="22.7109375" style="325" customWidth="1"/>
    <col min="8" max="8" width="22.00390625" style="325" customWidth="1"/>
    <col min="9" max="9" width="22.7109375" style="325" customWidth="1"/>
    <col min="10" max="10" width="15.140625" style="325" customWidth="1"/>
    <col min="11" max="16384" width="9.140625" style="325" customWidth="1"/>
  </cols>
  <sheetData>
    <row r="1" spans="7:10" ht="15">
      <c r="G1" s="326"/>
      <c r="H1" s="326"/>
      <c r="J1" s="326"/>
    </row>
    <row r="3" spans="1:10" ht="22.5">
      <c r="A3" s="327" t="s">
        <v>560</v>
      </c>
      <c r="B3" s="328"/>
      <c r="C3" s="328"/>
      <c r="D3" s="328"/>
      <c r="E3" s="328"/>
      <c r="F3" s="328"/>
      <c r="G3" s="328"/>
      <c r="H3" s="328"/>
      <c r="I3" s="329"/>
      <c r="J3" s="329"/>
    </row>
    <row r="4" spans="1:9" ht="24.75" customHeight="1">
      <c r="A4" s="327" t="s">
        <v>561</v>
      </c>
      <c r="B4" s="327"/>
      <c r="C4" s="327"/>
      <c r="D4" s="327"/>
      <c r="E4" s="330"/>
      <c r="F4" s="330"/>
      <c r="G4" s="329"/>
      <c r="H4" s="329"/>
      <c r="I4" s="329"/>
    </row>
    <row r="5" spans="2:10" ht="15" thickBot="1">
      <c r="B5" s="331"/>
      <c r="C5" s="331"/>
      <c r="G5" s="332"/>
      <c r="H5" s="332"/>
      <c r="I5" s="326"/>
      <c r="J5" s="333" t="s">
        <v>529</v>
      </c>
    </row>
    <row r="6" spans="1:10" ht="24" customHeight="1">
      <c r="A6" s="334" t="s">
        <v>562</v>
      </c>
      <c r="B6" s="335" t="s">
        <v>563</v>
      </c>
      <c r="C6" s="336"/>
      <c r="D6" s="336"/>
      <c r="E6" s="337"/>
      <c r="F6" s="338" t="s">
        <v>564</v>
      </c>
      <c r="G6" s="338" t="s">
        <v>565</v>
      </c>
      <c r="H6" s="338" t="s">
        <v>566</v>
      </c>
      <c r="I6" s="338" t="s">
        <v>566</v>
      </c>
      <c r="J6" s="338" t="s">
        <v>567</v>
      </c>
    </row>
    <row r="7" spans="1:10" ht="17.25" customHeight="1">
      <c r="A7" s="339" t="s">
        <v>568</v>
      </c>
      <c r="B7" s="340" t="s">
        <v>569</v>
      </c>
      <c r="C7" s="341" t="s">
        <v>570</v>
      </c>
      <c r="D7" s="342" t="s">
        <v>571</v>
      </c>
      <c r="E7" s="343" t="s">
        <v>572</v>
      </c>
      <c r="F7" s="344"/>
      <c r="G7" s="345" t="s">
        <v>573</v>
      </c>
      <c r="H7" s="345" t="s">
        <v>574</v>
      </c>
      <c r="I7" s="345" t="s">
        <v>575</v>
      </c>
      <c r="J7" s="345" t="s">
        <v>576</v>
      </c>
    </row>
    <row r="8" spans="1:10" ht="13.5">
      <c r="A8" s="346" t="s">
        <v>577</v>
      </c>
      <c r="B8" s="347" t="s">
        <v>578</v>
      </c>
      <c r="C8" s="341"/>
      <c r="D8" s="341"/>
      <c r="E8" s="348" t="s">
        <v>579</v>
      </c>
      <c r="F8" s="349"/>
      <c r="G8" s="345" t="s">
        <v>580</v>
      </c>
      <c r="H8" s="350" t="s">
        <v>581</v>
      </c>
      <c r="I8" s="350"/>
      <c r="J8" s="351" t="s">
        <v>582</v>
      </c>
    </row>
    <row r="9" spans="1:10" ht="14.25" thickBot="1">
      <c r="A9" s="346" t="s">
        <v>583</v>
      </c>
      <c r="B9" s="352"/>
      <c r="C9" s="353"/>
      <c r="D9" s="353"/>
      <c r="E9" s="354"/>
      <c r="F9" s="355"/>
      <c r="G9" s="350"/>
      <c r="H9" s="356"/>
      <c r="I9" s="357"/>
      <c r="J9" s="358"/>
    </row>
    <row r="10" spans="1:10" ht="14.25" thickBot="1">
      <c r="A10" s="359" t="s">
        <v>0</v>
      </c>
      <c r="B10" s="360" t="s">
        <v>584</v>
      </c>
      <c r="C10" s="361" t="s">
        <v>585</v>
      </c>
      <c r="D10" s="361" t="s">
        <v>586</v>
      </c>
      <c r="E10" s="362" t="s">
        <v>587</v>
      </c>
      <c r="F10" s="362" t="s">
        <v>588</v>
      </c>
      <c r="G10" s="362">
        <v>1</v>
      </c>
      <c r="H10" s="362">
        <v>2</v>
      </c>
      <c r="I10" s="362">
        <v>3</v>
      </c>
      <c r="J10" s="362">
        <v>4</v>
      </c>
    </row>
    <row r="11" spans="1:10" ht="24.75" customHeight="1">
      <c r="A11" s="363" t="s">
        <v>589</v>
      </c>
      <c r="B11" s="364" t="s">
        <v>590</v>
      </c>
      <c r="C11" s="365"/>
      <c r="D11" s="366"/>
      <c r="E11" s="367"/>
      <c r="F11" s="368" t="s">
        <v>546</v>
      </c>
      <c r="G11" s="369">
        <f>SUM(G12+G20+G32+G87)</f>
        <v>110307000</v>
      </c>
      <c r="H11" s="369">
        <f>SUM(H12+H20+H32+H87)</f>
        <v>16761954</v>
      </c>
      <c r="I11" s="369">
        <f>SUM(I12+I20+I32+I87)</f>
        <v>111409398</v>
      </c>
      <c r="J11" s="370">
        <f aca="true" t="shared" si="0" ref="J11:J17">SUM($I11/G11)*100</f>
        <v>100.99939079115559</v>
      </c>
    </row>
    <row r="12" spans="1:10" ht="18.75" customHeight="1">
      <c r="A12" s="371" t="s">
        <v>589</v>
      </c>
      <c r="B12" s="372"/>
      <c r="C12" s="373" t="s">
        <v>591</v>
      </c>
      <c r="D12" s="373"/>
      <c r="E12" s="374"/>
      <c r="F12" s="375" t="s">
        <v>592</v>
      </c>
      <c r="G12" s="376">
        <f>SUM(G13+G14+G16+G17+G18+G19)</f>
        <v>52358000</v>
      </c>
      <c r="H12" s="376">
        <f>SUM(H13+H14+H16+H17+H18+H19)</f>
        <v>6875393</v>
      </c>
      <c r="I12" s="376">
        <f>SUM(I13+I14+I16+I17+I18+I19)</f>
        <v>52346458</v>
      </c>
      <c r="J12" s="377">
        <f t="shared" si="0"/>
        <v>99.97795561327781</v>
      </c>
    </row>
    <row r="13" spans="1:10" ht="18.75" customHeight="1">
      <c r="A13" s="378" t="s">
        <v>589</v>
      </c>
      <c r="B13" s="372"/>
      <c r="C13" s="373"/>
      <c r="D13" s="379" t="s">
        <v>593</v>
      </c>
      <c r="E13" s="380"/>
      <c r="F13" s="381" t="s">
        <v>594</v>
      </c>
      <c r="G13" s="382">
        <v>47096312</v>
      </c>
      <c r="H13" s="382">
        <v>5066141</v>
      </c>
      <c r="I13" s="382">
        <v>45930336</v>
      </c>
      <c r="J13" s="383">
        <f t="shared" si="0"/>
        <v>97.52427323821024</v>
      </c>
    </row>
    <row r="14" spans="1:10" ht="18.75" customHeight="1">
      <c r="A14" s="378" t="s">
        <v>589</v>
      </c>
      <c r="B14" s="372"/>
      <c r="C14" s="373"/>
      <c r="D14" s="379" t="s">
        <v>595</v>
      </c>
      <c r="E14" s="380"/>
      <c r="F14" s="381" t="s">
        <v>596</v>
      </c>
      <c r="G14" s="382">
        <f>SUM(G15:G15)</f>
        <v>33447</v>
      </c>
      <c r="H14" s="382">
        <f>SUM(H15:H15)</f>
        <v>24486</v>
      </c>
      <c r="I14" s="382">
        <f>SUM(I15:I15)</f>
        <v>226176</v>
      </c>
      <c r="J14" s="383">
        <f t="shared" si="0"/>
        <v>676.2220826979999</v>
      </c>
    </row>
    <row r="15" spans="1:10" ht="18.75" customHeight="1">
      <c r="A15" s="384" t="s">
        <v>589</v>
      </c>
      <c r="B15" s="385"/>
      <c r="C15" s="386"/>
      <c r="D15" s="387"/>
      <c r="E15" s="388" t="s">
        <v>597</v>
      </c>
      <c r="F15" s="389" t="s">
        <v>598</v>
      </c>
      <c r="G15" s="390">
        <v>33447</v>
      </c>
      <c r="H15" s="390">
        <v>24486</v>
      </c>
      <c r="I15" s="390">
        <v>226176</v>
      </c>
      <c r="J15" s="391">
        <f t="shared" si="0"/>
        <v>676.2220826979999</v>
      </c>
    </row>
    <row r="16" spans="1:10" ht="18.75" customHeight="1">
      <c r="A16" s="378" t="s">
        <v>589</v>
      </c>
      <c r="B16" s="372"/>
      <c r="C16" s="373"/>
      <c r="D16" s="379" t="s">
        <v>599</v>
      </c>
      <c r="E16" s="380"/>
      <c r="F16" s="381" t="s">
        <v>600</v>
      </c>
      <c r="G16" s="382">
        <v>3551</v>
      </c>
      <c r="H16" s="382">
        <v>676</v>
      </c>
      <c r="I16" s="382">
        <v>12454</v>
      </c>
      <c r="J16" s="383">
        <f t="shared" si="0"/>
        <v>350.7181075753309</v>
      </c>
    </row>
    <row r="17" spans="1:10" ht="18.75" customHeight="1">
      <c r="A17" s="378" t="s">
        <v>589</v>
      </c>
      <c r="B17" s="372"/>
      <c r="C17" s="373"/>
      <c r="D17" s="379" t="s">
        <v>601</v>
      </c>
      <c r="E17" s="380"/>
      <c r="F17" s="381" t="s">
        <v>602</v>
      </c>
      <c r="G17" s="382">
        <v>5224690</v>
      </c>
      <c r="H17" s="382">
        <v>1784090</v>
      </c>
      <c r="I17" s="382">
        <v>6177492</v>
      </c>
      <c r="J17" s="383">
        <f t="shared" si="0"/>
        <v>118.23652695183829</v>
      </c>
    </row>
    <row r="18" spans="1:10" ht="18.75" customHeight="1" hidden="1">
      <c r="A18" s="378"/>
      <c r="B18" s="372"/>
      <c r="C18" s="373"/>
      <c r="D18" s="379" t="s">
        <v>603</v>
      </c>
      <c r="E18" s="380"/>
      <c r="F18" s="381" t="s">
        <v>604</v>
      </c>
      <c r="G18" s="382">
        <v>0</v>
      </c>
      <c r="H18" s="382">
        <v>0</v>
      </c>
      <c r="I18" s="382">
        <v>0</v>
      </c>
      <c r="J18" s="383">
        <v>0</v>
      </c>
    </row>
    <row r="19" spans="1:10" ht="18.75" customHeight="1" hidden="1">
      <c r="A19" s="378"/>
      <c r="B19" s="372"/>
      <c r="C19" s="373"/>
      <c r="D19" s="379" t="s">
        <v>605</v>
      </c>
      <c r="E19" s="380"/>
      <c r="F19" s="381" t="s">
        <v>606</v>
      </c>
      <c r="G19" s="382">
        <v>0</v>
      </c>
      <c r="H19" s="382">
        <v>0</v>
      </c>
      <c r="I19" s="382">
        <v>0</v>
      </c>
      <c r="J19" s="383">
        <v>0</v>
      </c>
    </row>
    <row r="20" spans="1:10" ht="18.75" customHeight="1">
      <c r="A20" s="371" t="s">
        <v>589</v>
      </c>
      <c r="B20" s="392"/>
      <c r="C20" s="393" t="s">
        <v>607</v>
      </c>
      <c r="D20" s="393"/>
      <c r="E20" s="394"/>
      <c r="F20" s="395" t="s">
        <v>608</v>
      </c>
      <c r="G20" s="396">
        <f>SUM(G21+G22+G23+G31)</f>
        <v>20242000</v>
      </c>
      <c r="H20" s="397">
        <f>SUM(H21+H22+H23+H31)</f>
        <v>2543830</v>
      </c>
      <c r="I20" s="397">
        <f>SUM(I21+I22+I23+I31)</f>
        <v>19935089</v>
      </c>
      <c r="J20" s="377">
        <f aca="true" t="shared" si="1" ref="J20:J66">SUM($I20/G20)*100</f>
        <v>98.48379112735896</v>
      </c>
    </row>
    <row r="21" spans="1:10" ht="18.75" customHeight="1">
      <c r="A21" s="378" t="s">
        <v>589</v>
      </c>
      <c r="B21" s="385"/>
      <c r="C21" s="386"/>
      <c r="D21" s="398" t="s">
        <v>609</v>
      </c>
      <c r="E21" s="399"/>
      <c r="F21" s="400" t="s">
        <v>610</v>
      </c>
      <c r="G21" s="382">
        <v>4107648</v>
      </c>
      <c r="H21" s="382">
        <f>508517+366</f>
        <v>508883</v>
      </c>
      <c r="I21" s="382">
        <f>4080563+366</f>
        <v>4080929</v>
      </c>
      <c r="J21" s="383">
        <f t="shared" si="1"/>
        <v>99.34953043688262</v>
      </c>
    </row>
    <row r="22" spans="1:10" ht="18.75" customHeight="1">
      <c r="A22" s="378" t="s">
        <v>589</v>
      </c>
      <c r="B22" s="385"/>
      <c r="C22" s="386"/>
      <c r="D22" s="398" t="s">
        <v>611</v>
      </c>
      <c r="E22" s="399"/>
      <c r="F22" s="400" t="s">
        <v>612</v>
      </c>
      <c r="G22" s="382">
        <v>1234177</v>
      </c>
      <c r="H22" s="382">
        <f>171532+404</f>
        <v>171936</v>
      </c>
      <c r="I22" s="382">
        <f>1343333+404</f>
        <v>1343737</v>
      </c>
      <c r="J22" s="383">
        <f t="shared" si="1"/>
        <v>108.87717077858363</v>
      </c>
    </row>
    <row r="23" spans="1:10" ht="18.75" customHeight="1">
      <c r="A23" s="378" t="s">
        <v>589</v>
      </c>
      <c r="B23" s="385"/>
      <c r="C23" s="386"/>
      <c r="D23" s="398" t="s">
        <v>613</v>
      </c>
      <c r="E23" s="399"/>
      <c r="F23" s="400" t="s">
        <v>614</v>
      </c>
      <c r="G23" s="382">
        <f>SUM(G24:G30)</f>
        <v>13027971</v>
      </c>
      <c r="H23" s="382">
        <f>SUM(H24:H30)</f>
        <v>1721390</v>
      </c>
      <c r="I23" s="382">
        <f>SUM(I24:I30)</f>
        <v>13089220</v>
      </c>
      <c r="J23" s="383">
        <f t="shared" si="1"/>
        <v>100.47013460499721</v>
      </c>
    </row>
    <row r="24" spans="1:10" ht="18.75" customHeight="1">
      <c r="A24" s="384" t="s">
        <v>589</v>
      </c>
      <c r="B24" s="385"/>
      <c r="C24" s="386"/>
      <c r="D24" s="387"/>
      <c r="E24" s="388" t="s">
        <v>615</v>
      </c>
      <c r="F24" s="401" t="s">
        <v>616</v>
      </c>
      <c r="G24" s="390">
        <v>703733</v>
      </c>
      <c r="H24" s="390">
        <v>93061</v>
      </c>
      <c r="I24" s="390">
        <v>676652</v>
      </c>
      <c r="J24" s="391">
        <f t="shared" si="1"/>
        <v>96.1518075747478</v>
      </c>
    </row>
    <row r="25" spans="1:10" ht="18.75" customHeight="1">
      <c r="A25" s="384" t="s">
        <v>589</v>
      </c>
      <c r="B25" s="385"/>
      <c r="C25" s="386"/>
      <c r="D25" s="387"/>
      <c r="E25" s="388" t="s">
        <v>617</v>
      </c>
      <c r="F25" s="389" t="s">
        <v>618</v>
      </c>
      <c r="G25" s="390">
        <v>7292902</v>
      </c>
      <c r="H25" s="390">
        <f>963390+30</f>
        <v>963420</v>
      </c>
      <c r="I25" s="390">
        <f>7366675+30</f>
        <v>7366705</v>
      </c>
      <c r="J25" s="391">
        <f t="shared" si="1"/>
        <v>101.01198398113674</v>
      </c>
    </row>
    <row r="26" spans="1:10" ht="18.75" customHeight="1">
      <c r="A26" s="384" t="s">
        <v>589</v>
      </c>
      <c r="B26" s="385"/>
      <c r="C26" s="386"/>
      <c r="D26" s="387"/>
      <c r="E26" s="388" t="s">
        <v>619</v>
      </c>
      <c r="F26" s="402" t="s">
        <v>620</v>
      </c>
      <c r="G26" s="390">
        <v>410659</v>
      </c>
      <c r="H26" s="390">
        <v>55299</v>
      </c>
      <c r="I26" s="390">
        <v>428890</v>
      </c>
      <c r="J26" s="391">
        <f t="shared" si="1"/>
        <v>104.43944976245498</v>
      </c>
    </row>
    <row r="27" spans="1:10" ht="18.75" customHeight="1">
      <c r="A27" s="384" t="s">
        <v>589</v>
      </c>
      <c r="B27" s="385"/>
      <c r="C27" s="386"/>
      <c r="D27" s="387"/>
      <c r="E27" s="388" t="s">
        <v>621</v>
      </c>
      <c r="F27" s="402" t="s">
        <v>622</v>
      </c>
      <c r="G27" s="390">
        <v>1544581</v>
      </c>
      <c r="H27" s="390">
        <f>198642+1567</f>
        <v>200209</v>
      </c>
      <c r="I27" s="390">
        <f>1498650+1567</f>
        <v>1500217</v>
      </c>
      <c r="J27" s="391">
        <f t="shared" si="1"/>
        <v>97.12776474655587</v>
      </c>
    </row>
    <row r="28" spans="1:10" ht="18.75" customHeight="1">
      <c r="A28" s="384" t="s">
        <v>589</v>
      </c>
      <c r="B28" s="385"/>
      <c r="C28" s="386"/>
      <c r="D28" s="387"/>
      <c r="E28" s="388" t="s">
        <v>623</v>
      </c>
      <c r="F28" s="402" t="s">
        <v>624</v>
      </c>
      <c r="G28" s="390">
        <v>499816</v>
      </c>
      <c r="H28" s="390">
        <f>64701+633</f>
        <v>65334</v>
      </c>
      <c r="I28" s="390">
        <f>494621+633</f>
        <v>495254</v>
      </c>
      <c r="J28" s="391">
        <f t="shared" si="1"/>
        <v>99.08726411319365</v>
      </c>
    </row>
    <row r="29" spans="1:10" ht="18.75" customHeight="1">
      <c r="A29" s="384" t="s">
        <v>589</v>
      </c>
      <c r="B29" s="385"/>
      <c r="C29" s="386"/>
      <c r="D29" s="387"/>
      <c r="E29" s="388" t="s">
        <v>625</v>
      </c>
      <c r="F29" s="402" t="s">
        <v>626</v>
      </c>
      <c r="G29" s="390">
        <v>130152</v>
      </c>
      <c r="H29" s="390">
        <v>16617</v>
      </c>
      <c r="I29" s="390">
        <v>121353</v>
      </c>
      <c r="J29" s="391">
        <f t="shared" si="1"/>
        <v>93.23944311266827</v>
      </c>
    </row>
    <row r="30" spans="1:10" ht="18.75" customHeight="1">
      <c r="A30" s="384" t="s">
        <v>589</v>
      </c>
      <c r="B30" s="385"/>
      <c r="C30" s="386"/>
      <c r="D30" s="387"/>
      <c r="E30" s="388" t="s">
        <v>627</v>
      </c>
      <c r="F30" s="402" t="s">
        <v>628</v>
      </c>
      <c r="G30" s="390">
        <v>2446128</v>
      </c>
      <c r="H30" s="390">
        <f>326837+613</f>
        <v>327450</v>
      </c>
      <c r="I30" s="390">
        <f>2499536+613</f>
        <v>2500149</v>
      </c>
      <c r="J30" s="391">
        <f t="shared" si="1"/>
        <v>102.20842899472144</v>
      </c>
    </row>
    <row r="31" spans="1:10" ht="18.75" customHeight="1">
      <c r="A31" s="378" t="s">
        <v>589</v>
      </c>
      <c r="B31" s="385"/>
      <c r="C31" s="386"/>
      <c r="D31" s="398" t="s">
        <v>629</v>
      </c>
      <c r="E31" s="403"/>
      <c r="F31" s="404" t="s">
        <v>630</v>
      </c>
      <c r="G31" s="382">
        <v>1872204</v>
      </c>
      <c r="H31" s="382">
        <v>141621</v>
      </c>
      <c r="I31" s="382">
        <v>1421203</v>
      </c>
      <c r="J31" s="383">
        <f t="shared" si="1"/>
        <v>75.91069135628382</v>
      </c>
    </row>
    <row r="32" spans="1:10" ht="18.75" customHeight="1">
      <c r="A32" s="371" t="s">
        <v>589</v>
      </c>
      <c r="B32" s="392"/>
      <c r="C32" s="405" t="s">
        <v>631</v>
      </c>
      <c r="D32" s="393"/>
      <c r="E32" s="406"/>
      <c r="F32" s="395" t="s">
        <v>632</v>
      </c>
      <c r="G32" s="407">
        <f>SUM(G33+G37+G42+G52+G64+G58+G68)</f>
        <v>36194000</v>
      </c>
      <c r="H32" s="407">
        <f>SUM(H33+H37+H42+H52+H64+H58+H68)</f>
        <v>7301439</v>
      </c>
      <c r="I32" s="407">
        <f>SUM(I33+I37+I42+I52+I64+I58+I68)</f>
        <v>37974384</v>
      </c>
      <c r="J32" s="377">
        <f t="shared" si="1"/>
        <v>104.91900314969331</v>
      </c>
    </row>
    <row r="33" spans="1:10" ht="18.75" customHeight="1">
      <c r="A33" s="378" t="s">
        <v>589</v>
      </c>
      <c r="B33" s="408"/>
      <c r="C33" s="409"/>
      <c r="D33" s="379" t="s">
        <v>633</v>
      </c>
      <c r="E33" s="410"/>
      <c r="F33" s="381" t="s">
        <v>634</v>
      </c>
      <c r="G33" s="411">
        <f>SUM(G34:G36)</f>
        <v>183303</v>
      </c>
      <c r="H33" s="411">
        <f>SUM(H34:H36)</f>
        <v>10933</v>
      </c>
      <c r="I33" s="411">
        <f>SUM(I34:I36)</f>
        <v>185156</v>
      </c>
      <c r="J33" s="383">
        <f t="shared" si="1"/>
        <v>101.01089452982221</v>
      </c>
    </row>
    <row r="34" spans="1:10" ht="18.75" customHeight="1">
      <c r="A34" s="384" t="s">
        <v>589</v>
      </c>
      <c r="B34" s="408"/>
      <c r="C34" s="412"/>
      <c r="D34" s="413"/>
      <c r="E34" s="414">
        <v>631001</v>
      </c>
      <c r="F34" s="415" t="s">
        <v>635</v>
      </c>
      <c r="G34" s="416">
        <v>150310</v>
      </c>
      <c r="H34" s="416">
        <f>10040+188</f>
        <v>10228</v>
      </c>
      <c r="I34" s="416">
        <f>159755+188</f>
        <v>159943</v>
      </c>
      <c r="J34" s="391">
        <f t="shared" si="1"/>
        <v>106.40875523917236</v>
      </c>
    </row>
    <row r="35" spans="1:10" ht="18.75" customHeight="1">
      <c r="A35" s="384" t="s">
        <v>589</v>
      </c>
      <c r="B35" s="408"/>
      <c r="C35" s="412"/>
      <c r="D35" s="413"/>
      <c r="E35" s="414">
        <v>631002</v>
      </c>
      <c r="F35" s="415" t="s">
        <v>636</v>
      </c>
      <c r="G35" s="416">
        <v>30000</v>
      </c>
      <c r="H35" s="416">
        <v>628</v>
      </c>
      <c r="I35" s="416">
        <v>23188</v>
      </c>
      <c r="J35" s="391">
        <f t="shared" si="1"/>
        <v>77.29333333333334</v>
      </c>
    </row>
    <row r="36" spans="1:10" ht="18.75" customHeight="1">
      <c r="A36" s="384" t="s">
        <v>589</v>
      </c>
      <c r="B36" s="408"/>
      <c r="C36" s="412"/>
      <c r="D36" s="413"/>
      <c r="E36" s="414">
        <v>631004</v>
      </c>
      <c r="F36" s="415" t="s">
        <v>637</v>
      </c>
      <c r="G36" s="416">
        <v>2993</v>
      </c>
      <c r="H36" s="416">
        <v>77</v>
      </c>
      <c r="I36" s="416">
        <v>2025</v>
      </c>
      <c r="J36" s="391">
        <f t="shared" si="1"/>
        <v>67.65786835950551</v>
      </c>
    </row>
    <row r="37" spans="1:10" ht="18.75" customHeight="1">
      <c r="A37" s="378" t="s">
        <v>589</v>
      </c>
      <c r="B37" s="408"/>
      <c r="C37" s="409"/>
      <c r="D37" s="379" t="s">
        <v>638</v>
      </c>
      <c r="E37" s="410"/>
      <c r="F37" s="381" t="s">
        <v>639</v>
      </c>
      <c r="G37" s="411">
        <f>SUM(G38:G41)</f>
        <v>13240864</v>
      </c>
      <c r="H37" s="411">
        <f>SUM(H38:H41)</f>
        <v>2154465</v>
      </c>
      <c r="I37" s="411">
        <f>SUM(I38:I41)</f>
        <v>13381405</v>
      </c>
      <c r="J37" s="383">
        <f t="shared" si="1"/>
        <v>101.06141865062581</v>
      </c>
    </row>
    <row r="38" spans="1:10" ht="18.75" customHeight="1">
      <c r="A38" s="384" t="s">
        <v>589</v>
      </c>
      <c r="B38" s="408"/>
      <c r="C38" s="409"/>
      <c r="D38" s="417"/>
      <c r="E38" s="418">
        <v>632001</v>
      </c>
      <c r="F38" s="419" t="s">
        <v>640</v>
      </c>
      <c r="G38" s="416">
        <v>1699522</v>
      </c>
      <c r="H38" s="416">
        <f>104735+164446</f>
        <v>269181</v>
      </c>
      <c r="I38" s="416">
        <f>1684797+164446</f>
        <v>1849243</v>
      </c>
      <c r="J38" s="391">
        <f t="shared" si="1"/>
        <v>108.80959469780326</v>
      </c>
    </row>
    <row r="39" spans="1:10" ht="18.75" customHeight="1">
      <c r="A39" s="384" t="s">
        <v>589</v>
      </c>
      <c r="B39" s="408"/>
      <c r="C39" s="409"/>
      <c r="D39" s="417"/>
      <c r="E39" s="418">
        <v>632002</v>
      </c>
      <c r="F39" s="419" t="s">
        <v>641</v>
      </c>
      <c r="G39" s="416">
        <v>162368</v>
      </c>
      <c r="H39" s="416">
        <f>21348+620</f>
        <v>21968</v>
      </c>
      <c r="I39" s="416">
        <f>158219+620</f>
        <v>158839</v>
      </c>
      <c r="J39" s="391">
        <f t="shared" si="1"/>
        <v>97.8265421757982</v>
      </c>
    </row>
    <row r="40" spans="1:10" ht="18.75" customHeight="1">
      <c r="A40" s="384" t="s">
        <v>589</v>
      </c>
      <c r="B40" s="408"/>
      <c r="C40" s="409"/>
      <c r="D40" s="417"/>
      <c r="E40" s="418">
        <v>632003</v>
      </c>
      <c r="F40" s="420" t="s">
        <v>642</v>
      </c>
      <c r="G40" s="416">
        <v>9458974</v>
      </c>
      <c r="H40" s="416">
        <f>1487686+82709</f>
        <v>1570395</v>
      </c>
      <c r="I40" s="416">
        <f>9519641+82709</f>
        <v>9602350</v>
      </c>
      <c r="J40" s="391">
        <f t="shared" si="1"/>
        <v>101.51576693201609</v>
      </c>
    </row>
    <row r="41" spans="1:10" ht="18.75" customHeight="1">
      <c r="A41" s="384" t="s">
        <v>589</v>
      </c>
      <c r="B41" s="408"/>
      <c r="C41" s="409"/>
      <c r="D41" s="417"/>
      <c r="E41" s="418">
        <v>632004</v>
      </c>
      <c r="F41" s="420" t="s">
        <v>643</v>
      </c>
      <c r="G41" s="416">
        <v>1920000</v>
      </c>
      <c r="H41" s="416">
        <f>288860+4061</f>
        <v>292921</v>
      </c>
      <c r="I41" s="416">
        <f>1766912+4061</f>
        <v>1770973</v>
      </c>
      <c r="J41" s="391">
        <f t="shared" si="1"/>
        <v>92.23817708333333</v>
      </c>
    </row>
    <row r="42" spans="1:10" ht="18.75" customHeight="1">
      <c r="A42" s="378" t="s">
        <v>589</v>
      </c>
      <c r="B42" s="408"/>
      <c r="C42" s="409"/>
      <c r="D42" s="379" t="s">
        <v>644</v>
      </c>
      <c r="E42" s="410"/>
      <c r="F42" s="381" t="s">
        <v>645</v>
      </c>
      <c r="G42" s="411">
        <f>SUM(G43:G51)</f>
        <v>1721977</v>
      </c>
      <c r="H42" s="411">
        <f>SUM(H43:H51)</f>
        <v>525090</v>
      </c>
      <c r="I42" s="411">
        <f>SUM(I43:I51)</f>
        <v>1875478</v>
      </c>
      <c r="J42" s="383">
        <f t="shared" si="1"/>
        <v>108.91423056173224</v>
      </c>
    </row>
    <row r="43" spans="1:10" ht="18.75" customHeight="1">
      <c r="A43" s="384" t="s">
        <v>589</v>
      </c>
      <c r="B43" s="408"/>
      <c r="C43" s="409"/>
      <c r="D43" s="421"/>
      <c r="E43" s="422" t="s">
        <v>646</v>
      </c>
      <c r="F43" s="423" t="s">
        <v>647</v>
      </c>
      <c r="G43" s="424">
        <v>34466</v>
      </c>
      <c r="H43" s="424">
        <v>27317</v>
      </c>
      <c r="I43" s="424">
        <v>126866</v>
      </c>
      <c r="J43" s="391">
        <f t="shared" si="1"/>
        <v>368.09029188185457</v>
      </c>
    </row>
    <row r="44" spans="1:10" ht="18.75" customHeight="1">
      <c r="A44" s="384" t="s">
        <v>589</v>
      </c>
      <c r="B44" s="408"/>
      <c r="C44" s="409"/>
      <c r="D44" s="421"/>
      <c r="E44" s="422" t="s">
        <v>648</v>
      </c>
      <c r="F44" s="423" t="s">
        <v>649</v>
      </c>
      <c r="G44" s="424">
        <v>170000</v>
      </c>
      <c r="H44" s="424">
        <v>0</v>
      </c>
      <c r="I44" s="424">
        <v>11696</v>
      </c>
      <c r="J44" s="391">
        <f t="shared" si="1"/>
        <v>6.88</v>
      </c>
    </row>
    <row r="45" spans="1:10" ht="18.75" customHeight="1">
      <c r="A45" s="384" t="s">
        <v>589</v>
      </c>
      <c r="B45" s="408"/>
      <c r="C45" s="409"/>
      <c r="D45" s="421"/>
      <c r="E45" s="422" t="s">
        <v>650</v>
      </c>
      <c r="F45" s="423" t="s">
        <v>651</v>
      </c>
      <c r="G45" s="424">
        <v>1000</v>
      </c>
      <c r="H45" s="424">
        <v>14</v>
      </c>
      <c r="I45" s="424">
        <v>715</v>
      </c>
      <c r="J45" s="391">
        <f t="shared" si="1"/>
        <v>71.5</v>
      </c>
    </row>
    <row r="46" spans="1:10" ht="18.75" customHeight="1">
      <c r="A46" s="384" t="s">
        <v>589</v>
      </c>
      <c r="B46" s="408"/>
      <c r="C46" s="409"/>
      <c r="D46" s="421"/>
      <c r="E46" s="422" t="s">
        <v>652</v>
      </c>
      <c r="F46" s="423" t="s">
        <v>653</v>
      </c>
      <c r="G46" s="424">
        <v>18528</v>
      </c>
      <c r="H46" s="424">
        <v>2359</v>
      </c>
      <c r="I46" s="424">
        <v>65803</v>
      </c>
      <c r="J46" s="391">
        <f t="shared" si="1"/>
        <v>355.1543609671848</v>
      </c>
    </row>
    <row r="47" spans="1:10" ht="18.75" customHeight="1">
      <c r="A47" s="384" t="s">
        <v>589</v>
      </c>
      <c r="B47" s="408"/>
      <c r="C47" s="409"/>
      <c r="D47" s="421"/>
      <c r="E47" s="422" t="s">
        <v>654</v>
      </c>
      <c r="F47" s="423" t="s">
        <v>655</v>
      </c>
      <c r="G47" s="424">
        <v>1397917</v>
      </c>
      <c r="H47" s="424">
        <f>470082+1628</f>
        <v>471710</v>
      </c>
      <c r="I47" s="424">
        <f>1603649+1628</f>
        <v>1605277</v>
      </c>
      <c r="J47" s="391">
        <f t="shared" si="1"/>
        <v>114.83349869842058</v>
      </c>
    </row>
    <row r="48" spans="1:10" ht="18.75" customHeight="1">
      <c r="A48" s="384" t="s">
        <v>589</v>
      </c>
      <c r="B48" s="408"/>
      <c r="C48" s="409"/>
      <c r="D48" s="421"/>
      <c r="E48" s="422" t="s">
        <v>656</v>
      </c>
      <c r="F48" s="423" t="s">
        <v>657</v>
      </c>
      <c r="G48" s="424">
        <v>19650</v>
      </c>
      <c r="H48" s="424">
        <f>1057+7901</f>
        <v>8958</v>
      </c>
      <c r="I48" s="424">
        <f>7467+7901</f>
        <v>15368</v>
      </c>
      <c r="J48" s="391">
        <f t="shared" si="1"/>
        <v>78.20865139949109</v>
      </c>
    </row>
    <row r="49" spans="1:10" ht="18.75" customHeight="1">
      <c r="A49" s="384" t="s">
        <v>589</v>
      </c>
      <c r="B49" s="408"/>
      <c r="C49" s="409"/>
      <c r="D49" s="421"/>
      <c r="E49" s="422" t="s">
        <v>658</v>
      </c>
      <c r="F49" s="423" t="s">
        <v>659</v>
      </c>
      <c r="G49" s="424">
        <v>13669</v>
      </c>
      <c r="H49" s="424">
        <v>2278</v>
      </c>
      <c r="I49" s="424">
        <v>9118</v>
      </c>
      <c r="J49" s="391">
        <f t="shared" si="1"/>
        <v>66.70568439534713</v>
      </c>
    </row>
    <row r="50" spans="1:10" ht="18.75" customHeight="1">
      <c r="A50" s="384" t="s">
        <v>589</v>
      </c>
      <c r="B50" s="408"/>
      <c r="C50" s="409"/>
      <c r="D50" s="421"/>
      <c r="E50" s="422" t="s">
        <v>660</v>
      </c>
      <c r="F50" s="423" t="s">
        <v>661</v>
      </c>
      <c r="G50" s="424">
        <v>35000</v>
      </c>
      <c r="H50" s="424">
        <v>4877</v>
      </c>
      <c r="I50" s="424">
        <v>7794</v>
      </c>
      <c r="J50" s="391">
        <f t="shared" si="1"/>
        <v>22.26857142857143</v>
      </c>
    </row>
    <row r="51" spans="1:10" ht="18.75" customHeight="1">
      <c r="A51" s="384" t="s">
        <v>589</v>
      </c>
      <c r="B51" s="408"/>
      <c r="C51" s="409"/>
      <c r="D51" s="421"/>
      <c r="E51" s="422" t="s">
        <v>662</v>
      </c>
      <c r="F51" s="423" t="s">
        <v>663</v>
      </c>
      <c r="G51" s="424">
        <v>31747</v>
      </c>
      <c r="H51" s="424">
        <f>7077+500</f>
        <v>7577</v>
      </c>
      <c r="I51" s="424">
        <f>32341+500</f>
        <v>32841</v>
      </c>
      <c r="J51" s="391">
        <f t="shared" si="1"/>
        <v>103.44599489715564</v>
      </c>
    </row>
    <row r="52" spans="1:10" ht="18.75" customHeight="1">
      <c r="A52" s="378" t="s">
        <v>589</v>
      </c>
      <c r="B52" s="408"/>
      <c r="C52" s="409"/>
      <c r="D52" s="379" t="s">
        <v>664</v>
      </c>
      <c r="E52" s="410"/>
      <c r="F52" s="381" t="s">
        <v>665</v>
      </c>
      <c r="G52" s="411">
        <f>SUM(G53:G57)</f>
        <v>318744</v>
      </c>
      <c r="H52" s="411">
        <f>SUM(H53:H57)</f>
        <v>41991</v>
      </c>
      <c r="I52" s="411">
        <f>SUM(I53:I57)</f>
        <v>334424</v>
      </c>
      <c r="J52" s="383">
        <f t="shared" si="1"/>
        <v>104.9193082850187</v>
      </c>
    </row>
    <row r="53" spans="1:10" ht="18.75" customHeight="1">
      <c r="A53" s="384" t="s">
        <v>589</v>
      </c>
      <c r="B53" s="408"/>
      <c r="C53" s="409"/>
      <c r="D53" s="417"/>
      <c r="E53" s="418">
        <v>634001</v>
      </c>
      <c r="F53" s="425" t="s">
        <v>666</v>
      </c>
      <c r="G53" s="416">
        <v>221841</v>
      </c>
      <c r="H53" s="416">
        <f>27747+69</f>
        <v>27816</v>
      </c>
      <c r="I53" s="416">
        <f>224813+69</f>
        <v>224882</v>
      </c>
      <c r="J53" s="391">
        <f t="shared" si="1"/>
        <v>101.37080161016223</v>
      </c>
    </row>
    <row r="54" spans="1:10" ht="18.75" customHeight="1">
      <c r="A54" s="384" t="s">
        <v>589</v>
      </c>
      <c r="B54" s="408"/>
      <c r="C54" s="409"/>
      <c r="D54" s="417"/>
      <c r="E54" s="418">
        <v>634002</v>
      </c>
      <c r="F54" s="425" t="s">
        <v>667</v>
      </c>
      <c r="G54" s="416">
        <v>52148</v>
      </c>
      <c r="H54" s="416">
        <v>10242</v>
      </c>
      <c r="I54" s="416">
        <v>71542</v>
      </c>
      <c r="J54" s="391">
        <f t="shared" si="1"/>
        <v>137.19030451791056</v>
      </c>
    </row>
    <row r="55" spans="1:10" ht="18.75" customHeight="1">
      <c r="A55" s="384" t="s">
        <v>589</v>
      </c>
      <c r="B55" s="408"/>
      <c r="C55" s="409"/>
      <c r="D55" s="426"/>
      <c r="E55" s="427" t="s">
        <v>668</v>
      </c>
      <c r="F55" s="423" t="s">
        <v>669</v>
      </c>
      <c r="G55" s="416">
        <v>17213</v>
      </c>
      <c r="H55" s="416">
        <v>0</v>
      </c>
      <c r="I55" s="416">
        <v>18326</v>
      </c>
      <c r="J55" s="391">
        <f t="shared" si="1"/>
        <v>106.46604310695405</v>
      </c>
    </row>
    <row r="56" spans="1:10" ht="18.75" customHeight="1">
      <c r="A56" s="384" t="s">
        <v>589</v>
      </c>
      <c r="B56" s="408"/>
      <c r="C56" s="409"/>
      <c r="D56" s="426"/>
      <c r="E56" s="418">
        <v>634004</v>
      </c>
      <c r="F56" s="428" t="s">
        <v>670</v>
      </c>
      <c r="G56" s="416">
        <v>20580</v>
      </c>
      <c r="H56" s="416">
        <v>3772</v>
      </c>
      <c r="I56" s="416">
        <v>13871</v>
      </c>
      <c r="J56" s="391">
        <f t="shared" si="1"/>
        <v>67.40038872691933</v>
      </c>
    </row>
    <row r="57" spans="1:10" ht="18.75" customHeight="1">
      <c r="A57" s="384" t="s">
        <v>589</v>
      </c>
      <c r="B57" s="408"/>
      <c r="C57" s="409"/>
      <c r="D57" s="426"/>
      <c r="E57" s="418">
        <v>634005</v>
      </c>
      <c r="F57" s="428" t="s">
        <v>671</v>
      </c>
      <c r="G57" s="416">
        <v>6962</v>
      </c>
      <c r="H57" s="416">
        <v>161</v>
      </c>
      <c r="I57" s="416">
        <v>5803</v>
      </c>
      <c r="J57" s="391">
        <f t="shared" si="1"/>
        <v>83.35248491812698</v>
      </c>
    </row>
    <row r="58" spans="1:10" ht="18.75" customHeight="1">
      <c r="A58" s="378" t="s">
        <v>589</v>
      </c>
      <c r="B58" s="408"/>
      <c r="C58" s="409"/>
      <c r="D58" s="379" t="s">
        <v>672</v>
      </c>
      <c r="E58" s="429"/>
      <c r="F58" s="381" t="s">
        <v>673</v>
      </c>
      <c r="G58" s="411">
        <f>SUM(G59:G63)</f>
        <v>9866587</v>
      </c>
      <c r="H58" s="411">
        <f>SUM(H59:H63)</f>
        <v>3092932</v>
      </c>
      <c r="I58" s="411">
        <f>SUM(I59:I63)</f>
        <v>11578671</v>
      </c>
      <c r="J58" s="383">
        <f t="shared" si="1"/>
        <v>117.35234281114634</v>
      </c>
    </row>
    <row r="59" spans="1:10" ht="18.75" customHeight="1">
      <c r="A59" s="384" t="s">
        <v>589</v>
      </c>
      <c r="B59" s="408"/>
      <c r="C59" s="409"/>
      <c r="D59" s="417"/>
      <c r="E59" s="418">
        <v>635001</v>
      </c>
      <c r="F59" s="428" t="s">
        <v>674</v>
      </c>
      <c r="G59" s="416">
        <v>17305</v>
      </c>
      <c r="H59" s="416">
        <v>8670</v>
      </c>
      <c r="I59" s="416">
        <v>23013</v>
      </c>
      <c r="J59" s="430">
        <f t="shared" si="1"/>
        <v>132.98468650678993</v>
      </c>
    </row>
    <row r="60" spans="1:10" ht="18.75" customHeight="1">
      <c r="A60" s="384" t="s">
        <v>589</v>
      </c>
      <c r="B60" s="408"/>
      <c r="C60" s="409"/>
      <c r="D60" s="417"/>
      <c r="E60" s="418">
        <v>635002</v>
      </c>
      <c r="F60" s="428" t="s">
        <v>675</v>
      </c>
      <c r="G60" s="416">
        <v>9534114</v>
      </c>
      <c r="H60" s="416">
        <f>2879386+168909</f>
        <v>3048295</v>
      </c>
      <c r="I60" s="416">
        <f>11201856+168909</f>
        <v>11370765</v>
      </c>
      <c r="J60" s="430">
        <f t="shared" si="1"/>
        <v>119.26399243810175</v>
      </c>
    </row>
    <row r="61" spans="1:10" ht="18.75" customHeight="1">
      <c r="A61" s="384" t="s">
        <v>589</v>
      </c>
      <c r="B61" s="408"/>
      <c r="C61" s="409"/>
      <c r="D61" s="417"/>
      <c r="E61" s="418">
        <v>635003</v>
      </c>
      <c r="F61" s="428" t="s">
        <v>676</v>
      </c>
      <c r="G61" s="416">
        <v>6100</v>
      </c>
      <c r="H61" s="416">
        <v>344</v>
      </c>
      <c r="I61" s="416">
        <v>1432</v>
      </c>
      <c r="J61" s="430">
        <f t="shared" si="1"/>
        <v>23.475409836065573</v>
      </c>
    </row>
    <row r="62" spans="1:10" ht="18.75" customHeight="1">
      <c r="A62" s="384" t="s">
        <v>589</v>
      </c>
      <c r="B62" s="408"/>
      <c r="C62" s="409"/>
      <c r="D62" s="417"/>
      <c r="E62" s="418">
        <v>635004</v>
      </c>
      <c r="F62" s="428" t="s">
        <v>677</v>
      </c>
      <c r="G62" s="416">
        <v>186412</v>
      </c>
      <c r="H62" s="416">
        <v>22479</v>
      </c>
      <c r="I62" s="416">
        <v>83653</v>
      </c>
      <c r="J62" s="430">
        <f t="shared" si="1"/>
        <v>44.875329914383194</v>
      </c>
    </row>
    <row r="63" spans="1:10" ht="18.75" customHeight="1">
      <c r="A63" s="384" t="s">
        <v>589</v>
      </c>
      <c r="B63" s="408"/>
      <c r="C63" s="409"/>
      <c r="D63" s="417"/>
      <c r="E63" s="418">
        <v>635006</v>
      </c>
      <c r="F63" s="425" t="s">
        <v>678</v>
      </c>
      <c r="G63" s="416">
        <v>122656</v>
      </c>
      <c r="H63" s="416">
        <v>13144</v>
      </c>
      <c r="I63" s="416">
        <v>99808</v>
      </c>
      <c r="J63" s="430">
        <f t="shared" si="1"/>
        <v>81.37229324289068</v>
      </c>
    </row>
    <row r="64" spans="1:10" ht="18.75" customHeight="1">
      <c r="A64" s="378" t="s">
        <v>589</v>
      </c>
      <c r="B64" s="408"/>
      <c r="C64" s="409"/>
      <c r="D64" s="379" t="s">
        <v>679</v>
      </c>
      <c r="E64" s="410"/>
      <c r="F64" s="381" t="s">
        <v>680</v>
      </c>
      <c r="G64" s="411">
        <f>SUM(G65:G67)</f>
        <v>2324582</v>
      </c>
      <c r="H64" s="411">
        <f>SUM(H65:H67)</f>
        <v>182393</v>
      </c>
      <c r="I64" s="411">
        <f>SUM(I65:I67)</f>
        <v>2379614</v>
      </c>
      <c r="J64" s="383">
        <f t="shared" si="1"/>
        <v>102.36739336362407</v>
      </c>
    </row>
    <row r="65" spans="1:10" ht="18.75" customHeight="1">
      <c r="A65" s="384" t="s">
        <v>589</v>
      </c>
      <c r="B65" s="408"/>
      <c r="C65" s="409"/>
      <c r="D65" s="431"/>
      <c r="E65" s="418">
        <v>636001</v>
      </c>
      <c r="F65" s="432" t="s">
        <v>681</v>
      </c>
      <c r="G65" s="416">
        <v>2313397</v>
      </c>
      <c r="H65" s="416">
        <f>177085+2172</f>
        <v>179257</v>
      </c>
      <c r="I65" s="416">
        <f>2366889+2172</f>
        <v>2369061</v>
      </c>
      <c r="J65" s="391">
        <f t="shared" si="1"/>
        <v>102.40615856249488</v>
      </c>
    </row>
    <row r="66" spans="1:10" ht="18" customHeight="1">
      <c r="A66" s="384" t="s">
        <v>589</v>
      </c>
      <c r="B66" s="408"/>
      <c r="C66" s="409"/>
      <c r="D66" s="431"/>
      <c r="E66" s="418">
        <v>636002</v>
      </c>
      <c r="F66" s="432" t="s">
        <v>682</v>
      </c>
      <c r="G66" s="416">
        <v>11185</v>
      </c>
      <c r="H66" s="416">
        <v>3136</v>
      </c>
      <c r="I66" s="416">
        <v>10553</v>
      </c>
      <c r="J66" s="391">
        <f t="shared" si="1"/>
        <v>94.34957532409477</v>
      </c>
    </row>
    <row r="67" spans="1:10" s="441" customFormat="1" ht="21" customHeight="1" hidden="1">
      <c r="A67" s="433" t="s">
        <v>589</v>
      </c>
      <c r="B67" s="434"/>
      <c r="C67" s="435"/>
      <c r="D67" s="436"/>
      <c r="E67" s="437">
        <v>636005</v>
      </c>
      <c r="F67" s="438" t="s">
        <v>683</v>
      </c>
      <c r="G67" s="439">
        <v>0</v>
      </c>
      <c r="H67" s="416">
        <v>0</v>
      </c>
      <c r="I67" s="416">
        <v>0</v>
      </c>
      <c r="J67" s="440">
        <v>0</v>
      </c>
    </row>
    <row r="68" spans="1:10" ht="18.75" customHeight="1">
      <c r="A68" s="378" t="s">
        <v>589</v>
      </c>
      <c r="B68" s="408"/>
      <c r="C68" s="409"/>
      <c r="D68" s="379" t="s">
        <v>684</v>
      </c>
      <c r="E68" s="410"/>
      <c r="F68" s="381" t="s">
        <v>685</v>
      </c>
      <c r="G68" s="411">
        <f>SUM(G69:G86)</f>
        <v>8537943</v>
      </c>
      <c r="H68" s="411">
        <f>SUM(H69:H86)</f>
        <v>1293635</v>
      </c>
      <c r="I68" s="411">
        <f>SUM(I69:I86)</f>
        <v>8239636</v>
      </c>
      <c r="J68" s="383">
        <f aca="true" t="shared" si="2" ref="J68:J82">SUM($I68/G68)*100</f>
        <v>96.50610223094719</v>
      </c>
    </row>
    <row r="69" spans="1:10" ht="18.75" customHeight="1">
      <c r="A69" s="384" t="s">
        <v>589</v>
      </c>
      <c r="B69" s="408"/>
      <c r="C69" s="409"/>
      <c r="D69" s="421"/>
      <c r="E69" s="422" t="s">
        <v>686</v>
      </c>
      <c r="F69" s="423" t="s">
        <v>687</v>
      </c>
      <c r="G69" s="416">
        <v>74307</v>
      </c>
      <c r="H69" s="416">
        <v>2660</v>
      </c>
      <c r="I69" s="416">
        <v>36023</v>
      </c>
      <c r="J69" s="430">
        <f t="shared" si="2"/>
        <v>48.47860901395561</v>
      </c>
    </row>
    <row r="70" spans="1:10" ht="18.75" customHeight="1">
      <c r="A70" s="384" t="s">
        <v>589</v>
      </c>
      <c r="B70" s="408"/>
      <c r="C70" s="409"/>
      <c r="D70" s="421"/>
      <c r="E70" s="422" t="s">
        <v>688</v>
      </c>
      <c r="F70" s="423" t="s">
        <v>689</v>
      </c>
      <c r="G70" s="416">
        <v>5490</v>
      </c>
      <c r="H70" s="416">
        <f>793+500</f>
        <v>1293</v>
      </c>
      <c r="I70" s="416">
        <f>6326+500</f>
        <v>6826</v>
      </c>
      <c r="J70" s="430">
        <f t="shared" si="2"/>
        <v>124.33515482695812</v>
      </c>
    </row>
    <row r="71" spans="1:10" ht="18.75" customHeight="1">
      <c r="A71" s="384" t="s">
        <v>589</v>
      </c>
      <c r="B71" s="408"/>
      <c r="C71" s="409"/>
      <c r="D71" s="421"/>
      <c r="E71" s="422" t="s">
        <v>690</v>
      </c>
      <c r="F71" s="423" t="s">
        <v>691</v>
      </c>
      <c r="G71" s="416">
        <v>1189394</v>
      </c>
      <c r="H71" s="416">
        <f>266988+17962</f>
        <v>284950</v>
      </c>
      <c r="I71" s="416">
        <f>1170945+17962</f>
        <v>1188907</v>
      </c>
      <c r="J71" s="430">
        <f t="shared" si="2"/>
        <v>99.95905477915645</v>
      </c>
    </row>
    <row r="72" spans="1:10" ht="18.75" customHeight="1">
      <c r="A72" s="384" t="s">
        <v>589</v>
      </c>
      <c r="B72" s="408"/>
      <c r="C72" s="409"/>
      <c r="D72" s="421"/>
      <c r="E72" s="422" t="s">
        <v>692</v>
      </c>
      <c r="F72" s="423" t="s">
        <v>693</v>
      </c>
      <c r="G72" s="416">
        <v>1370192</v>
      </c>
      <c r="H72" s="416">
        <f>197317+840</f>
        <v>198157</v>
      </c>
      <c r="I72" s="416">
        <f>1325033+840</f>
        <v>1325873</v>
      </c>
      <c r="J72" s="430">
        <f t="shared" si="2"/>
        <v>96.76548979996964</v>
      </c>
    </row>
    <row r="73" spans="1:10" ht="18.75" customHeight="1">
      <c r="A73" s="384" t="s">
        <v>589</v>
      </c>
      <c r="B73" s="408"/>
      <c r="C73" s="409"/>
      <c r="D73" s="421"/>
      <c r="E73" s="422" t="s">
        <v>694</v>
      </c>
      <c r="F73" s="423" t="s">
        <v>634</v>
      </c>
      <c r="G73" s="416">
        <v>674</v>
      </c>
      <c r="H73" s="416">
        <v>77</v>
      </c>
      <c r="I73" s="416">
        <v>298</v>
      </c>
      <c r="J73" s="430">
        <f t="shared" si="2"/>
        <v>44.21364985163205</v>
      </c>
    </row>
    <row r="74" spans="1:10" s="447" customFormat="1" ht="18" customHeight="1">
      <c r="A74" s="442" t="s">
        <v>589</v>
      </c>
      <c r="B74" s="443"/>
      <c r="C74" s="409"/>
      <c r="D74" s="444"/>
      <c r="E74" s="445" t="s">
        <v>695</v>
      </c>
      <c r="F74" s="446" t="s">
        <v>696</v>
      </c>
      <c r="G74" s="416">
        <v>81882</v>
      </c>
      <c r="H74" s="416">
        <v>0</v>
      </c>
      <c r="I74" s="416">
        <v>11147</v>
      </c>
      <c r="J74" s="430">
        <f t="shared" si="2"/>
        <v>13.613492586893333</v>
      </c>
    </row>
    <row r="75" spans="1:10" ht="18.75" customHeight="1">
      <c r="A75" s="384" t="s">
        <v>589</v>
      </c>
      <c r="B75" s="408"/>
      <c r="C75" s="409"/>
      <c r="D75" s="421"/>
      <c r="E75" s="422" t="s">
        <v>697</v>
      </c>
      <c r="F75" s="423" t="s">
        <v>698</v>
      </c>
      <c r="G75" s="416">
        <v>10947</v>
      </c>
      <c r="H75" s="416">
        <v>6994</v>
      </c>
      <c r="I75" s="416">
        <v>42480</v>
      </c>
      <c r="J75" s="430">
        <f t="shared" si="2"/>
        <v>388.0515209646478</v>
      </c>
    </row>
    <row r="76" spans="1:10" ht="18.75" customHeight="1">
      <c r="A76" s="384" t="s">
        <v>589</v>
      </c>
      <c r="B76" s="408"/>
      <c r="C76" s="409"/>
      <c r="D76" s="421"/>
      <c r="E76" s="422" t="s">
        <v>699</v>
      </c>
      <c r="F76" s="423" t="s">
        <v>700</v>
      </c>
      <c r="G76" s="416">
        <v>1261919</v>
      </c>
      <c r="H76" s="416">
        <f>88565+31027</f>
        <v>119592</v>
      </c>
      <c r="I76" s="416">
        <f>1251743+31027</f>
        <v>1282770</v>
      </c>
      <c r="J76" s="430">
        <f t="shared" si="2"/>
        <v>101.65232475301505</v>
      </c>
    </row>
    <row r="77" spans="1:10" ht="18.75" customHeight="1">
      <c r="A77" s="384" t="s">
        <v>589</v>
      </c>
      <c r="B77" s="408"/>
      <c r="C77" s="409"/>
      <c r="D77" s="421"/>
      <c r="E77" s="422" t="s">
        <v>701</v>
      </c>
      <c r="F77" s="423" t="s">
        <v>702</v>
      </c>
      <c r="G77" s="416">
        <v>1801553</v>
      </c>
      <c r="H77" s="416">
        <f>130631+152614</f>
        <v>283245</v>
      </c>
      <c r="I77" s="416">
        <f>1694351+152614</f>
        <v>1846965</v>
      </c>
      <c r="J77" s="430">
        <f t="shared" si="2"/>
        <v>102.52071407280275</v>
      </c>
    </row>
    <row r="78" spans="1:10" ht="18.75" customHeight="1">
      <c r="A78" s="384" t="s">
        <v>589</v>
      </c>
      <c r="B78" s="408"/>
      <c r="C78" s="409"/>
      <c r="D78" s="421"/>
      <c r="E78" s="422" t="s">
        <v>703</v>
      </c>
      <c r="F78" s="423" t="s">
        <v>704</v>
      </c>
      <c r="G78" s="416">
        <v>147046</v>
      </c>
      <c r="H78" s="416">
        <v>-52</v>
      </c>
      <c r="I78" s="416">
        <v>61132</v>
      </c>
      <c r="J78" s="430">
        <f t="shared" si="2"/>
        <v>41.57338519918937</v>
      </c>
    </row>
    <row r="79" spans="1:10" ht="18.75" customHeight="1">
      <c r="A79" s="384" t="s">
        <v>589</v>
      </c>
      <c r="B79" s="408"/>
      <c r="C79" s="409"/>
      <c r="D79" s="421"/>
      <c r="E79" s="422" t="s">
        <v>705</v>
      </c>
      <c r="F79" s="423" t="s">
        <v>706</v>
      </c>
      <c r="G79" s="416">
        <v>626698</v>
      </c>
      <c r="H79" s="448">
        <v>126352</v>
      </c>
      <c r="I79" s="448">
        <v>670092</v>
      </c>
      <c r="J79" s="430">
        <f t="shared" si="2"/>
        <v>106.92422825667227</v>
      </c>
    </row>
    <row r="80" spans="1:10" ht="18.75" customHeight="1">
      <c r="A80" s="384" t="s">
        <v>589</v>
      </c>
      <c r="B80" s="408"/>
      <c r="C80" s="409"/>
      <c r="D80" s="421"/>
      <c r="E80" s="422" t="s">
        <v>707</v>
      </c>
      <c r="F80" s="423" t="s">
        <v>708</v>
      </c>
      <c r="G80" s="416">
        <v>2700</v>
      </c>
      <c r="H80" s="416">
        <v>2467</v>
      </c>
      <c r="I80" s="416">
        <v>5540</v>
      </c>
      <c r="J80" s="430">
        <f t="shared" si="2"/>
        <v>205.1851851851852</v>
      </c>
    </row>
    <row r="81" spans="1:10" ht="18.75" customHeight="1">
      <c r="A81" s="384" t="s">
        <v>589</v>
      </c>
      <c r="B81" s="408"/>
      <c r="C81" s="409"/>
      <c r="D81" s="421"/>
      <c r="E81" s="422" t="s">
        <v>709</v>
      </c>
      <c r="F81" s="423" t="s">
        <v>710</v>
      </c>
      <c r="G81" s="416">
        <v>82800</v>
      </c>
      <c r="H81" s="416">
        <v>21361</v>
      </c>
      <c r="I81" s="416">
        <v>81851</v>
      </c>
      <c r="J81" s="430">
        <f t="shared" si="2"/>
        <v>98.8538647342995</v>
      </c>
    </row>
    <row r="82" spans="1:10" ht="18.75" customHeight="1">
      <c r="A82" s="384" t="s">
        <v>589</v>
      </c>
      <c r="B82" s="408"/>
      <c r="C82" s="409"/>
      <c r="D82" s="421"/>
      <c r="E82" s="422" t="s">
        <v>711</v>
      </c>
      <c r="F82" s="423" t="s">
        <v>712</v>
      </c>
      <c r="G82" s="416">
        <v>185000</v>
      </c>
      <c r="H82" s="416">
        <v>14652</v>
      </c>
      <c r="I82" s="416">
        <v>123582</v>
      </c>
      <c r="J82" s="430">
        <f t="shared" si="2"/>
        <v>66.80108108108108</v>
      </c>
    </row>
    <row r="83" spans="1:10" ht="18.75" customHeight="1">
      <c r="A83" s="384" t="s">
        <v>713</v>
      </c>
      <c r="B83" s="408"/>
      <c r="C83" s="409"/>
      <c r="D83" s="421"/>
      <c r="E83" s="422" t="s">
        <v>714</v>
      </c>
      <c r="F83" s="423" t="s">
        <v>715</v>
      </c>
      <c r="G83" s="416">
        <v>0</v>
      </c>
      <c r="H83" s="416">
        <v>24304</v>
      </c>
      <c r="I83" s="416">
        <v>26649</v>
      </c>
      <c r="J83" s="430">
        <v>0</v>
      </c>
    </row>
    <row r="84" spans="1:10" ht="18.75" customHeight="1">
      <c r="A84" s="384" t="s">
        <v>589</v>
      </c>
      <c r="B84" s="408"/>
      <c r="C84" s="409"/>
      <c r="D84" s="421"/>
      <c r="E84" s="422" t="s">
        <v>716</v>
      </c>
      <c r="F84" s="423" t="s">
        <v>717</v>
      </c>
      <c r="G84" s="416">
        <v>50000</v>
      </c>
      <c r="H84" s="416">
        <v>-10</v>
      </c>
      <c r="I84" s="416">
        <v>91037</v>
      </c>
      <c r="J84" s="430">
        <f aca="true" t="shared" si="3" ref="J84:J95">SUM($I84/G84)*100</f>
        <v>182.074</v>
      </c>
    </row>
    <row r="85" spans="1:10" ht="18.75" customHeight="1">
      <c r="A85" s="384" t="s">
        <v>589</v>
      </c>
      <c r="B85" s="408"/>
      <c r="C85" s="409"/>
      <c r="D85" s="421"/>
      <c r="E85" s="422" t="s">
        <v>718</v>
      </c>
      <c r="F85" s="423" t="s">
        <v>719</v>
      </c>
      <c r="G85" s="416">
        <v>1560513</v>
      </c>
      <c r="H85" s="416">
        <v>208109</v>
      </c>
      <c r="I85" s="416">
        <v>1335429</v>
      </c>
      <c r="J85" s="430">
        <f t="shared" si="3"/>
        <v>85.5762816458434</v>
      </c>
    </row>
    <row r="86" spans="1:10" ht="18.75" customHeight="1">
      <c r="A86" s="384" t="s">
        <v>589</v>
      </c>
      <c r="B86" s="408"/>
      <c r="C86" s="409"/>
      <c r="D86" s="421"/>
      <c r="E86" s="422" t="s">
        <v>720</v>
      </c>
      <c r="F86" s="423" t="s">
        <v>721</v>
      </c>
      <c r="G86" s="416">
        <v>86828</v>
      </c>
      <c r="H86" s="416">
        <v>-516</v>
      </c>
      <c r="I86" s="416">
        <v>103035</v>
      </c>
      <c r="J86" s="430">
        <f t="shared" si="3"/>
        <v>118.66563781268715</v>
      </c>
    </row>
    <row r="87" spans="1:10" ht="18.75" customHeight="1">
      <c r="A87" s="371" t="s">
        <v>589</v>
      </c>
      <c r="B87" s="392"/>
      <c r="C87" s="405" t="s">
        <v>722</v>
      </c>
      <c r="D87" s="393"/>
      <c r="E87" s="406"/>
      <c r="F87" s="395" t="s">
        <v>723</v>
      </c>
      <c r="G87" s="449">
        <f>SUM(G88+G94)</f>
        <v>1513000</v>
      </c>
      <c r="H87" s="449">
        <f>SUM(H88+H94)</f>
        <v>41292</v>
      </c>
      <c r="I87" s="449">
        <f>SUM(I88+I94)</f>
        <v>1153467</v>
      </c>
      <c r="J87" s="377">
        <f t="shared" si="3"/>
        <v>76.2370786516854</v>
      </c>
    </row>
    <row r="88" spans="1:10" ht="18.75" customHeight="1">
      <c r="A88" s="378" t="s">
        <v>589</v>
      </c>
      <c r="B88" s="408"/>
      <c r="C88" s="409"/>
      <c r="D88" s="379" t="s">
        <v>724</v>
      </c>
      <c r="E88" s="410"/>
      <c r="F88" s="381" t="s">
        <v>725</v>
      </c>
      <c r="G88" s="411">
        <f>SUM(G89:G93)</f>
        <v>1472680</v>
      </c>
      <c r="H88" s="411">
        <f>SUM(H89:H93)</f>
        <v>41292</v>
      </c>
      <c r="I88" s="411">
        <f>SUM(I89:I93)</f>
        <v>1118810</v>
      </c>
      <c r="J88" s="383">
        <f t="shared" si="3"/>
        <v>75.97101882282641</v>
      </c>
    </row>
    <row r="89" spans="1:10" ht="18.75" customHeight="1">
      <c r="A89" s="384" t="s">
        <v>589</v>
      </c>
      <c r="B89" s="408"/>
      <c r="C89" s="409"/>
      <c r="D89" s="421"/>
      <c r="E89" s="422" t="s">
        <v>726</v>
      </c>
      <c r="F89" s="423" t="s">
        <v>727</v>
      </c>
      <c r="G89" s="416">
        <v>938775</v>
      </c>
      <c r="H89" s="448">
        <v>21903</v>
      </c>
      <c r="I89" s="448">
        <v>659047</v>
      </c>
      <c r="J89" s="391">
        <f t="shared" si="3"/>
        <v>70.20287076242975</v>
      </c>
    </row>
    <row r="90" spans="1:10" ht="18.75" customHeight="1">
      <c r="A90" s="384" t="s">
        <v>589</v>
      </c>
      <c r="B90" s="408"/>
      <c r="C90" s="409"/>
      <c r="D90" s="421"/>
      <c r="E90" s="422" t="s">
        <v>728</v>
      </c>
      <c r="F90" s="423" t="s">
        <v>729</v>
      </c>
      <c r="G90" s="416">
        <v>194290</v>
      </c>
      <c r="H90" s="448">
        <v>1775</v>
      </c>
      <c r="I90" s="448">
        <v>155165</v>
      </c>
      <c r="J90" s="391">
        <f t="shared" si="3"/>
        <v>79.86257656081116</v>
      </c>
    </row>
    <row r="91" spans="1:10" ht="18.75" customHeight="1">
      <c r="A91" s="384" t="s">
        <v>589</v>
      </c>
      <c r="B91" s="408"/>
      <c r="C91" s="409"/>
      <c r="D91" s="421"/>
      <c r="E91" s="422" t="s">
        <v>730</v>
      </c>
      <c r="F91" s="423" t="s">
        <v>731</v>
      </c>
      <c r="G91" s="416">
        <v>22000</v>
      </c>
      <c r="H91" s="448">
        <v>1313</v>
      </c>
      <c r="I91" s="448">
        <v>16322</v>
      </c>
      <c r="J91" s="391">
        <f t="shared" si="3"/>
        <v>74.1909090909091</v>
      </c>
    </row>
    <row r="92" spans="1:10" ht="18.75" customHeight="1">
      <c r="A92" s="384" t="s">
        <v>589</v>
      </c>
      <c r="B92" s="408"/>
      <c r="C92" s="409"/>
      <c r="D92" s="421"/>
      <c r="E92" s="422" t="s">
        <v>732</v>
      </c>
      <c r="F92" s="423" t="s">
        <v>733</v>
      </c>
      <c r="G92" s="416">
        <v>317615</v>
      </c>
      <c r="H92" s="448">
        <v>16301</v>
      </c>
      <c r="I92" s="448">
        <v>288276</v>
      </c>
      <c r="J92" s="391">
        <f t="shared" si="3"/>
        <v>90.76271586669395</v>
      </c>
    </row>
    <row r="93" spans="1:10" ht="18.75" customHeight="1" hidden="1">
      <c r="A93" s="384" t="s">
        <v>589</v>
      </c>
      <c r="B93" s="408"/>
      <c r="C93" s="409"/>
      <c r="D93" s="421"/>
      <c r="E93" s="422" t="s">
        <v>734</v>
      </c>
      <c r="F93" s="423" t="s">
        <v>735</v>
      </c>
      <c r="G93" s="416">
        <v>0</v>
      </c>
      <c r="H93" s="416">
        <v>0</v>
      </c>
      <c r="I93" s="416">
        <v>0</v>
      </c>
      <c r="J93" s="391" t="e">
        <f t="shared" si="3"/>
        <v>#DIV/0!</v>
      </c>
    </row>
    <row r="94" spans="1:10" ht="18.75" customHeight="1">
      <c r="A94" s="378" t="s">
        <v>589</v>
      </c>
      <c r="B94" s="408"/>
      <c r="C94" s="409"/>
      <c r="D94" s="379" t="s">
        <v>736</v>
      </c>
      <c r="E94" s="422"/>
      <c r="F94" s="381" t="s">
        <v>737</v>
      </c>
      <c r="G94" s="411">
        <f>SUM(G95)</f>
        <v>40320</v>
      </c>
      <c r="H94" s="411">
        <f>SUM(H95)</f>
        <v>0</v>
      </c>
      <c r="I94" s="411">
        <f>SUM(I95)</f>
        <v>34657</v>
      </c>
      <c r="J94" s="383">
        <f t="shared" si="3"/>
        <v>85.95486111111111</v>
      </c>
    </row>
    <row r="95" spans="1:10" ht="18.75" customHeight="1">
      <c r="A95" s="384" t="s">
        <v>589</v>
      </c>
      <c r="B95" s="408"/>
      <c r="C95" s="409"/>
      <c r="D95" s="421"/>
      <c r="E95" s="422" t="s">
        <v>738</v>
      </c>
      <c r="F95" s="423" t="s">
        <v>739</v>
      </c>
      <c r="G95" s="416">
        <v>40320</v>
      </c>
      <c r="H95" s="416">
        <v>0</v>
      </c>
      <c r="I95" s="416">
        <v>34657</v>
      </c>
      <c r="J95" s="391">
        <f t="shared" si="3"/>
        <v>85.95486111111111</v>
      </c>
    </row>
    <row r="96" spans="1:10" ht="14.25" thickBot="1">
      <c r="A96" s="450"/>
      <c r="B96" s="451"/>
      <c r="C96" s="452"/>
      <c r="D96" s="452"/>
      <c r="E96" s="453"/>
      <c r="F96" s="454"/>
      <c r="G96" s="455"/>
      <c r="H96" s="455"/>
      <c r="I96" s="455"/>
      <c r="J96" s="456"/>
    </row>
    <row r="97" spans="2:6" ht="12.75">
      <c r="B97" s="457"/>
      <c r="C97" s="457"/>
      <c r="D97" s="457"/>
      <c r="E97" s="457"/>
      <c r="F97" s="457"/>
    </row>
    <row r="98" spans="2:6" ht="12.75">
      <c r="B98" s="457"/>
      <c r="C98" s="457"/>
      <c r="D98" s="457"/>
      <c r="E98" s="457"/>
      <c r="F98" s="457"/>
    </row>
    <row r="99" spans="2:6" ht="12.75">
      <c r="B99" s="457"/>
      <c r="C99" s="457"/>
      <c r="D99" s="457"/>
      <c r="E99" s="457"/>
      <c r="F99" s="457"/>
    </row>
    <row r="100" spans="2:6" ht="12.75">
      <c r="B100" s="457"/>
      <c r="C100" s="457"/>
      <c r="D100" s="457"/>
      <c r="E100" s="457"/>
      <c r="F100" s="457"/>
    </row>
    <row r="101" spans="2:6" ht="12.75">
      <c r="B101" s="457"/>
      <c r="C101" s="457"/>
      <c r="D101" s="457"/>
      <c r="E101" s="457"/>
      <c r="F101" s="457"/>
    </row>
    <row r="102" spans="2:6" ht="12.75">
      <c r="B102" s="457"/>
      <c r="C102" s="457"/>
      <c r="D102" s="457"/>
      <c r="E102" s="457"/>
      <c r="F102" s="457"/>
    </row>
    <row r="103" spans="2:6" ht="12.75">
      <c r="B103" s="457"/>
      <c r="C103" s="457"/>
      <c r="D103" s="457"/>
      <c r="E103" s="457"/>
      <c r="F103" s="457"/>
    </row>
    <row r="104" spans="2:6" ht="12.75">
      <c r="B104" s="457"/>
      <c r="C104" s="457"/>
      <c r="D104" s="457"/>
      <c r="E104" s="457"/>
      <c r="F104" s="457"/>
    </row>
    <row r="105" spans="2:6" ht="12.75">
      <c r="B105" s="457"/>
      <c r="C105" s="457"/>
      <c r="D105" s="457"/>
      <c r="E105" s="457"/>
      <c r="F105" s="457"/>
    </row>
    <row r="106" spans="2:6" ht="12.75">
      <c r="B106" s="457"/>
      <c r="C106" s="457"/>
      <c r="D106" s="457"/>
      <c r="E106" s="457"/>
      <c r="F106" s="457"/>
    </row>
    <row r="107" spans="2:6" ht="12.75">
      <c r="B107" s="457"/>
      <c r="C107" s="457"/>
      <c r="D107" s="457"/>
      <c r="E107" s="457"/>
      <c r="F107" s="457"/>
    </row>
    <row r="108" spans="2:6" ht="12.75">
      <c r="B108" s="457"/>
      <c r="C108" s="457"/>
      <c r="D108" s="457"/>
      <c r="E108" s="457"/>
      <c r="F108" s="457"/>
    </row>
    <row r="109" spans="2:6" ht="12.75">
      <c r="B109" s="457"/>
      <c r="C109" s="457"/>
      <c r="D109" s="457"/>
      <c r="E109" s="457"/>
      <c r="F109" s="457"/>
    </row>
    <row r="110" spans="2:6" ht="12.75">
      <c r="B110" s="457"/>
      <c r="C110" s="457"/>
      <c r="D110" s="457"/>
      <c r="E110" s="457"/>
      <c r="F110" s="457"/>
    </row>
    <row r="111" spans="2:6" ht="12.75">
      <c r="B111" s="457"/>
      <c r="C111" s="457"/>
      <c r="D111" s="457"/>
      <c r="E111" s="457"/>
      <c r="F111" s="457"/>
    </row>
    <row r="112" spans="2:6" ht="12.75">
      <c r="B112" s="457"/>
      <c r="C112" s="457"/>
      <c r="D112" s="457"/>
      <c r="E112" s="457"/>
      <c r="F112" s="457"/>
    </row>
    <row r="113" spans="2:6" ht="12.75">
      <c r="B113" s="457"/>
      <c r="C113" s="457"/>
      <c r="D113" s="457"/>
      <c r="E113" s="457"/>
      <c r="F113" s="457"/>
    </row>
    <row r="114" spans="2:6" ht="12.75">
      <c r="B114" s="457"/>
      <c r="C114" s="457"/>
      <c r="D114" s="457"/>
      <c r="E114" s="457"/>
      <c r="F114" s="457"/>
    </row>
    <row r="115" spans="2:6" ht="12.75">
      <c r="B115" s="457"/>
      <c r="C115" s="457"/>
      <c r="D115" s="457"/>
      <c r="E115" s="457"/>
      <c r="F115" s="457"/>
    </row>
    <row r="116" spans="2:6" ht="12.75">
      <c r="B116" s="457"/>
      <c r="C116" s="457"/>
      <c r="D116" s="457"/>
      <c r="E116" s="457"/>
      <c r="F116" s="457"/>
    </row>
    <row r="117" spans="2:6" ht="12.75">
      <c r="B117" s="457"/>
      <c r="C117" s="457"/>
      <c r="D117" s="457"/>
      <c r="E117" s="457"/>
      <c r="F117" s="457"/>
    </row>
    <row r="118" spans="2:6" ht="12.75">
      <c r="B118" s="457"/>
      <c r="C118" s="457"/>
      <c r="D118" s="457"/>
      <c r="E118" s="457"/>
      <c r="F118" s="457"/>
    </row>
    <row r="119" spans="2:6" ht="12.75">
      <c r="B119" s="457"/>
      <c r="C119" s="457"/>
      <c r="D119" s="457"/>
      <c r="E119" s="457"/>
      <c r="F119" s="457"/>
    </row>
    <row r="120" spans="2:6" ht="12.75">
      <c r="B120" s="457"/>
      <c r="C120" s="457"/>
      <c r="D120" s="457"/>
      <c r="E120" s="457"/>
      <c r="F120" s="457"/>
    </row>
    <row r="121" spans="2:6" ht="12.75">
      <c r="B121" s="457"/>
      <c r="C121" s="457"/>
      <c r="D121" s="457"/>
      <c r="E121" s="457"/>
      <c r="F121" s="457"/>
    </row>
    <row r="122" spans="2:6" ht="12.75">
      <c r="B122" s="457"/>
      <c r="C122" s="457"/>
      <c r="D122" s="457"/>
      <c r="E122" s="457"/>
      <c r="F122" s="457"/>
    </row>
    <row r="123" spans="2:6" ht="12.75">
      <c r="B123" s="457"/>
      <c r="C123" s="457"/>
      <c r="D123" s="457"/>
      <c r="E123" s="457"/>
      <c r="F123" s="457"/>
    </row>
    <row r="124" spans="2:6" ht="12.75">
      <c r="B124" s="457"/>
      <c r="C124" s="457"/>
      <c r="D124" s="457"/>
      <c r="E124" s="457"/>
      <c r="F124" s="457"/>
    </row>
    <row r="125" spans="2:6" ht="12.75">
      <c r="B125" s="457"/>
      <c r="C125" s="457"/>
      <c r="D125" s="457"/>
      <c r="E125" s="457"/>
      <c r="F125" s="457"/>
    </row>
    <row r="126" spans="2:6" ht="12.75">
      <c r="B126" s="457"/>
      <c r="C126" s="457"/>
      <c r="D126" s="457"/>
      <c r="E126" s="457"/>
      <c r="F126" s="457"/>
    </row>
    <row r="127" spans="2:6" ht="12.75">
      <c r="B127" s="457"/>
      <c r="C127" s="457"/>
      <c r="D127" s="457"/>
      <c r="E127" s="457"/>
      <c r="F127" s="457"/>
    </row>
    <row r="128" spans="2:6" ht="12.75">
      <c r="B128" s="457"/>
      <c r="C128" s="457"/>
      <c r="D128" s="457"/>
      <c r="E128" s="457"/>
      <c r="F128" s="457"/>
    </row>
    <row r="129" spans="2:6" ht="12.75">
      <c r="B129" s="457"/>
      <c r="C129" s="457"/>
      <c r="D129" s="457"/>
      <c r="E129" s="457"/>
      <c r="F129" s="457"/>
    </row>
    <row r="130" spans="2:6" ht="12.75">
      <c r="B130" s="457"/>
      <c r="C130" s="457"/>
      <c r="D130" s="457"/>
      <c r="E130" s="457"/>
      <c r="F130" s="457"/>
    </row>
    <row r="131" spans="2:6" ht="12.75">
      <c r="B131" s="457"/>
      <c r="C131" s="457"/>
      <c r="D131" s="457"/>
      <c r="E131" s="457"/>
      <c r="F131" s="457"/>
    </row>
    <row r="132" spans="2:6" ht="12.75">
      <c r="B132" s="457"/>
      <c r="C132" s="457"/>
      <c r="D132" s="457"/>
      <c r="E132" s="457"/>
      <c r="F132" s="457"/>
    </row>
    <row r="133" spans="2:6" ht="12.75">
      <c r="B133" s="457"/>
      <c r="C133" s="457"/>
      <c r="D133" s="457"/>
      <c r="E133" s="457"/>
      <c r="F133" s="457"/>
    </row>
    <row r="134" spans="2:6" ht="12.75">
      <c r="B134" s="457"/>
      <c r="C134" s="457"/>
      <c r="D134" s="457"/>
      <c r="E134" s="457"/>
      <c r="F134" s="457"/>
    </row>
    <row r="135" spans="2:6" ht="12.75">
      <c r="B135" s="457"/>
      <c r="C135" s="457"/>
      <c r="D135" s="457"/>
      <c r="E135" s="457"/>
      <c r="F135" s="457"/>
    </row>
    <row r="136" spans="2:6" ht="12.75">
      <c r="B136" s="457"/>
      <c r="C136" s="457"/>
      <c r="D136" s="457"/>
      <c r="E136" s="457"/>
      <c r="F136" s="457"/>
    </row>
    <row r="137" spans="2:6" ht="12.75">
      <c r="B137" s="457"/>
      <c r="C137" s="457"/>
      <c r="D137" s="457"/>
      <c r="E137" s="457"/>
      <c r="F137" s="457"/>
    </row>
    <row r="138" spans="2:6" ht="12.75">
      <c r="B138" s="457"/>
      <c r="C138" s="457"/>
      <c r="D138" s="457"/>
      <c r="E138" s="457"/>
      <c r="F138" s="457"/>
    </row>
    <row r="139" spans="2:6" ht="12.75">
      <c r="B139" s="457"/>
      <c r="C139" s="457"/>
      <c r="D139" s="457"/>
      <c r="E139" s="457"/>
      <c r="F139" s="457"/>
    </row>
    <row r="140" spans="2:6" ht="12.75">
      <c r="B140" s="457"/>
      <c r="C140" s="457"/>
      <c r="D140" s="457"/>
      <c r="E140" s="457"/>
      <c r="F140" s="457"/>
    </row>
    <row r="141" spans="2:6" ht="12.75">
      <c r="B141" s="457"/>
      <c r="C141" s="457"/>
      <c r="D141" s="457"/>
      <c r="E141" s="457"/>
      <c r="F141" s="457"/>
    </row>
    <row r="142" spans="2:6" ht="12.75">
      <c r="B142" s="457"/>
      <c r="C142" s="457"/>
      <c r="D142" s="457"/>
      <c r="E142" s="457"/>
      <c r="F142" s="457"/>
    </row>
    <row r="143" spans="2:6" ht="12.75">
      <c r="B143" s="457"/>
      <c r="C143" s="457"/>
      <c r="D143" s="457"/>
      <c r="E143" s="457"/>
      <c r="F143" s="457"/>
    </row>
    <row r="144" spans="2:6" ht="12.75">
      <c r="B144" s="457"/>
      <c r="C144" s="457"/>
      <c r="D144" s="457"/>
      <c r="E144" s="457"/>
      <c r="F144" s="457"/>
    </row>
    <row r="145" spans="2:6" ht="12.75">
      <c r="B145" s="457"/>
      <c r="C145" s="457"/>
      <c r="D145" s="457"/>
      <c r="E145" s="457"/>
      <c r="F145" s="457"/>
    </row>
    <row r="146" spans="2:6" ht="12.75">
      <c r="B146" s="457"/>
      <c r="C146" s="457"/>
      <c r="D146" s="457"/>
      <c r="E146" s="457"/>
      <c r="F146" s="457"/>
    </row>
    <row r="147" spans="2:6" ht="12.75">
      <c r="B147" s="457"/>
      <c r="C147" s="457"/>
      <c r="D147" s="457"/>
      <c r="E147" s="457"/>
      <c r="F147" s="457"/>
    </row>
    <row r="148" spans="2:6" ht="12.75">
      <c r="B148" s="457"/>
      <c r="C148" s="457"/>
      <c r="D148" s="457"/>
      <c r="E148" s="457"/>
      <c r="F148" s="457"/>
    </row>
    <row r="149" spans="2:6" ht="12.75">
      <c r="B149" s="457"/>
      <c r="C149" s="457"/>
      <c r="D149" s="457"/>
      <c r="E149" s="457"/>
      <c r="F149" s="457"/>
    </row>
    <row r="150" spans="2:6" ht="12.75">
      <c r="B150" s="457"/>
      <c r="C150" s="457"/>
      <c r="D150" s="457"/>
      <c r="E150" s="457"/>
      <c r="F150" s="457"/>
    </row>
    <row r="151" spans="2:6" ht="12.75">
      <c r="B151" s="457"/>
      <c r="C151" s="457"/>
      <c r="D151" s="457"/>
      <c r="E151" s="457"/>
      <c r="F151" s="457"/>
    </row>
    <row r="152" spans="2:6" ht="12.75">
      <c r="B152" s="457"/>
      <c r="C152" s="457"/>
      <c r="D152" s="457"/>
      <c r="E152" s="457"/>
      <c r="F152" s="457"/>
    </row>
    <row r="153" spans="2:6" ht="12.75">
      <c r="B153" s="457"/>
      <c r="C153" s="457"/>
      <c r="D153" s="457"/>
      <c r="E153" s="457"/>
      <c r="F153" s="457"/>
    </row>
    <row r="154" spans="2:6" ht="12.75">
      <c r="B154" s="457"/>
      <c r="C154" s="457"/>
      <c r="D154" s="457"/>
      <c r="E154" s="457"/>
      <c r="F154" s="457"/>
    </row>
    <row r="155" spans="2:6" ht="12.75">
      <c r="B155" s="457"/>
      <c r="C155" s="457"/>
      <c r="D155" s="457"/>
      <c r="E155" s="457"/>
      <c r="F155" s="457"/>
    </row>
    <row r="156" spans="2:6" ht="12.75">
      <c r="B156" s="457"/>
      <c r="C156" s="457"/>
      <c r="D156" s="457"/>
      <c r="E156" s="457"/>
      <c r="F156" s="457"/>
    </row>
    <row r="157" spans="2:6" ht="12.75">
      <c r="B157" s="457"/>
      <c r="C157" s="457"/>
      <c r="D157" s="457"/>
      <c r="E157" s="457"/>
      <c r="F157" s="457"/>
    </row>
    <row r="158" spans="2:6" ht="12.75">
      <c r="B158" s="457"/>
      <c r="C158" s="457"/>
      <c r="D158" s="457"/>
      <c r="E158" s="457"/>
      <c r="F158" s="457"/>
    </row>
    <row r="159" spans="2:6" ht="12.75">
      <c r="B159" s="457"/>
      <c r="C159" s="457"/>
      <c r="D159" s="457"/>
      <c r="E159" s="457"/>
      <c r="F159" s="457"/>
    </row>
    <row r="160" spans="2:6" ht="12.75">
      <c r="B160" s="457"/>
      <c r="C160" s="457"/>
      <c r="D160" s="457"/>
      <c r="E160" s="457"/>
      <c r="F160" s="457"/>
    </row>
    <row r="161" spans="2:6" ht="12.75">
      <c r="B161" s="457"/>
      <c r="C161" s="457"/>
      <c r="D161" s="457"/>
      <c r="E161" s="457"/>
      <c r="F161" s="457"/>
    </row>
    <row r="162" spans="2:6" ht="12.75">
      <c r="B162" s="457"/>
      <c r="C162" s="457"/>
      <c r="D162" s="457"/>
      <c r="E162" s="457"/>
      <c r="F162" s="457"/>
    </row>
    <row r="163" spans="2:6" ht="12.75">
      <c r="B163" s="457"/>
      <c r="C163" s="457"/>
      <c r="D163" s="457"/>
      <c r="E163" s="457"/>
      <c r="F163" s="457"/>
    </row>
    <row r="164" spans="2:6" ht="12.75">
      <c r="B164" s="457"/>
      <c r="C164" s="457"/>
      <c r="D164" s="457"/>
      <c r="E164" s="457"/>
      <c r="F164" s="457"/>
    </row>
    <row r="165" spans="2:6" ht="12.75">
      <c r="B165" s="457"/>
      <c r="C165" s="457"/>
      <c r="D165" s="457"/>
      <c r="E165" s="457"/>
      <c r="F165" s="457"/>
    </row>
    <row r="166" spans="2:6" ht="12.75">
      <c r="B166" s="457"/>
      <c r="C166" s="457"/>
      <c r="D166" s="457"/>
      <c r="E166" s="457"/>
      <c r="F166" s="457"/>
    </row>
    <row r="167" spans="2:6" ht="12.75">
      <c r="B167" s="457"/>
      <c r="C167" s="457"/>
      <c r="D167" s="457"/>
      <c r="E167" s="457"/>
      <c r="F167" s="457"/>
    </row>
    <row r="168" spans="2:6" ht="12.75">
      <c r="B168" s="457"/>
      <c r="C168" s="457"/>
      <c r="D168" s="457"/>
      <c r="E168" s="457"/>
      <c r="F168" s="457"/>
    </row>
    <row r="169" spans="2:6" ht="12.75">
      <c r="B169" s="457"/>
      <c r="C169" s="457"/>
      <c r="D169" s="457"/>
      <c r="E169" s="457"/>
      <c r="F169" s="457"/>
    </row>
    <row r="170" spans="2:6" ht="12.75">
      <c r="B170" s="457"/>
      <c r="C170" s="457"/>
      <c r="D170" s="457"/>
      <c r="E170" s="457"/>
      <c r="F170" s="457"/>
    </row>
    <row r="171" spans="2:6" ht="12.75">
      <c r="B171" s="457"/>
      <c r="C171" s="457"/>
      <c r="D171" s="457"/>
      <c r="E171" s="457"/>
      <c r="F171" s="457"/>
    </row>
    <row r="172" spans="2:6" ht="12.75">
      <c r="B172" s="457"/>
      <c r="C172" s="457"/>
      <c r="D172" s="457"/>
      <c r="E172" s="457"/>
      <c r="F172" s="457"/>
    </row>
    <row r="173" spans="2:6" ht="12.75">
      <c r="B173" s="457"/>
      <c r="C173" s="457"/>
      <c r="D173" s="457"/>
      <c r="E173" s="457"/>
      <c r="F173" s="457"/>
    </row>
    <row r="174" spans="2:6" ht="12.75">
      <c r="B174" s="457"/>
      <c r="C174" s="457"/>
      <c r="D174" s="457"/>
      <c r="E174" s="457"/>
      <c r="F174" s="457"/>
    </row>
    <row r="175" spans="2:6" ht="12.75">
      <c r="B175" s="457"/>
      <c r="C175" s="457"/>
      <c r="D175" s="457"/>
      <c r="E175" s="457"/>
      <c r="F175" s="457"/>
    </row>
    <row r="176" spans="2:6" ht="12.75">
      <c r="B176" s="457"/>
      <c r="C176" s="457"/>
      <c r="D176" s="457"/>
      <c r="E176" s="457"/>
      <c r="F176" s="457"/>
    </row>
    <row r="177" spans="2:6" ht="12.75">
      <c r="B177" s="457"/>
      <c r="C177" s="457"/>
      <c r="D177" s="457"/>
      <c r="E177" s="457"/>
      <c r="F177" s="457"/>
    </row>
    <row r="178" spans="2:6" ht="12.75">
      <c r="B178" s="457"/>
      <c r="C178" s="457"/>
      <c r="D178" s="457"/>
      <c r="E178" s="457"/>
      <c r="F178" s="457"/>
    </row>
    <row r="179" spans="2:6" ht="12.75">
      <c r="B179" s="457"/>
      <c r="C179" s="457"/>
      <c r="D179" s="457"/>
      <c r="E179" s="457"/>
      <c r="F179" s="457"/>
    </row>
    <row r="180" spans="2:6" ht="12.75">
      <c r="B180" s="457"/>
      <c r="C180" s="457"/>
      <c r="D180" s="457"/>
      <c r="E180" s="457"/>
      <c r="F180" s="457"/>
    </row>
    <row r="181" spans="2:6" ht="12.75">
      <c r="B181" s="457"/>
      <c r="C181" s="457"/>
      <c r="D181" s="457"/>
      <c r="E181" s="457"/>
      <c r="F181" s="457"/>
    </row>
    <row r="182" spans="2:6" ht="12.75">
      <c r="B182" s="457"/>
      <c r="C182" s="457"/>
      <c r="D182" s="457"/>
      <c r="E182" s="457"/>
      <c r="F182" s="457"/>
    </row>
    <row r="183" spans="2:6" ht="12.75">
      <c r="B183" s="457"/>
      <c r="C183" s="457"/>
      <c r="D183" s="457"/>
      <c r="E183" s="457"/>
      <c r="F183" s="457"/>
    </row>
    <row r="184" spans="2:6" ht="12.75">
      <c r="B184" s="457"/>
      <c r="C184" s="457"/>
      <c r="D184" s="457"/>
      <c r="E184" s="457"/>
      <c r="F184" s="457"/>
    </row>
    <row r="185" spans="2:6" ht="12.75">
      <c r="B185" s="457"/>
      <c r="C185" s="457"/>
      <c r="D185" s="457"/>
      <c r="E185" s="457"/>
      <c r="F185" s="457"/>
    </row>
    <row r="186" spans="2:6" ht="12.75">
      <c r="B186" s="457"/>
      <c r="C186" s="457"/>
      <c r="D186" s="457"/>
      <c r="E186" s="457"/>
      <c r="F186" s="457"/>
    </row>
    <row r="187" spans="2:6" ht="12.75">
      <c r="B187" s="457"/>
      <c r="C187" s="457"/>
      <c r="D187" s="457"/>
      <c r="E187" s="457"/>
      <c r="F187" s="457"/>
    </row>
    <row r="188" spans="2:6" ht="12.75">
      <c r="B188" s="457"/>
      <c r="C188" s="457"/>
      <c r="D188" s="457"/>
      <c r="E188" s="457"/>
      <c r="F188" s="457"/>
    </row>
    <row r="189" spans="2:6" ht="12.75">
      <c r="B189" s="457"/>
      <c r="C189" s="457"/>
      <c r="D189" s="457"/>
      <c r="E189" s="457"/>
      <c r="F189" s="457"/>
    </row>
    <row r="190" spans="2:6" ht="12.75">
      <c r="B190" s="457"/>
      <c r="C190" s="457"/>
      <c r="D190" s="457"/>
      <c r="E190" s="457"/>
      <c r="F190" s="457"/>
    </row>
    <row r="191" spans="2:6" ht="12.75">
      <c r="B191" s="457"/>
      <c r="C191" s="457"/>
      <c r="D191" s="457"/>
      <c r="E191" s="457"/>
      <c r="F191" s="457"/>
    </row>
    <row r="192" spans="2:6" ht="12.75">
      <c r="B192" s="457"/>
      <c r="C192" s="457"/>
      <c r="D192" s="457"/>
      <c r="E192" s="457"/>
      <c r="F192" s="457"/>
    </row>
    <row r="193" spans="2:6" ht="12.75">
      <c r="B193" s="457"/>
      <c r="C193" s="457"/>
      <c r="D193" s="457"/>
      <c r="E193" s="457"/>
      <c r="F193" s="457"/>
    </row>
    <row r="194" spans="2:6" ht="12.75">
      <c r="B194" s="457"/>
      <c r="C194" s="457"/>
      <c r="D194" s="457"/>
      <c r="E194" s="457"/>
      <c r="F194" s="457"/>
    </row>
    <row r="195" spans="2:6" ht="12.75">
      <c r="B195" s="457"/>
      <c r="C195" s="457"/>
      <c r="D195" s="457"/>
      <c r="E195" s="457"/>
      <c r="F195" s="457"/>
    </row>
    <row r="196" spans="2:6" ht="12.75">
      <c r="B196" s="457"/>
      <c r="C196" s="457"/>
      <c r="D196" s="457"/>
      <c r="E196" s="457"/>
      <c r="F196" s="457"/>
    </row>
    <row r="197" spans="2:6" ht="12.75">
      <c r="B197" s="457"/>
      <c r="C197" s="457"/>
      <c r="D197" s="457"/>
      <c r="E197" s="457"/>
      <c r="F197" s="457"/>
    </row>
    <row r="198" spans="2:6" ht="12.75">
      <c r="B198" s="457"/>
      <c r="C198" s="457"/>
      <c r="D198" s="457"/>
      <c r="E198" s="457"/>
      <c r="F198" s="457"/>
    </row>
    <row r="199" spans="2:6" ht="12.75">
      <c r="B199" s="457"/>
      <c r="C199" s="457"/>
      <c r="D199" s="457"/>
      <c r="E199" s="457"/>
      <c r="F199" s="457"/>
    </row>
    <row r="200" spans="2:6" ht="12.75">
      <c r="B200" s="457"/>
      <c r="C200" s="457"/>
      <c r="D200" s="457"/>
      <c r="E200" s="457"/>
      <c r="F200" s="457"/>
    </row>
    <row r="201" spans="2:6" ht="12.75">
      <c r="B201" s="457"/>
      <c r="C201" s="457"/>
      <c r="D201" s="457"/>
      <c r="E201" s="457"/>
      <c r="F201" s="457"/>
    </row>
    <row r="202" spans="2:6" ht="12.75">
      <c r="B202" s="457"/>
      <c r="C202" s="457"/>
      <c r="D202" s="457"/>
      <c r="E202" s="457"/>
      <c r="F202" s="457"/>
    </row>
    <row r="203" spans="2:6" ht="12.75">
      <c r="B203" s="457"/>
      <c r="C203" s="457"/>
      <c r="D203" s="457"/>
      <c r="E203" s="457"/>
      <c r="F203" s="457"/>
    </row>
    <row r="204" spans="2:6" ht="12.75">
      <c r="B204" s="457"/>
      <c r="C204" s="457"/>
      <c r="D204" s="457"/>
      <c r="E204" s="457"/>
      <c r="F204" s="457"/>
    </row>
    <row r="205" spans="2:6" ht="12.75">
      <c r="B205" s="457"/>
      <c r="C205" s="457"/>
      <c r="D205" s="457"/>
      <c r="E205" s="457"/>
      <c r="F205" s="457"/>
    </row>
    <row r="206" spans="2:6" ht="12.75">
      <c r="B206" s="457"/>
      <c r="C206" s="457"/>
      <c r="D206" s="457"/>
      <c r="E206" s="457"/>
      <c r="F206" s="457"/>
    </row>
    <row r="207" spans="2:6" ht="12.75">
      <c r="B207" s="457"/>
      <c r="C207" s="457"/>
      <c r="D207" s="457"/>
      <c r="E207" s="457"/>
      <c r="F207" s="457"/>
    </row>
    <row r="208" spans="2:6" ht="12.75">
      <c r="B208" s="457"/>
      <c r="C208" s="457"/>
      <c r="D208" s="457"/>
      <c r="E208" s="457"/>
      <c r="F208" s="457"/>
    </row>
    <row r="209" spans="2:6" ht="12.75">
      <c r="B209" s="457"/>
      <c r="C209" s="457"/>
      <c r="D209" s="457"/>
      <c r="E209" s="457"/>
      <c r="F209" s="457"/>
    </row>
    <row r="210" spans="2:6" ht="12.75">
      <c r="B210" s="457"/>
      <c r="C210" s="457"/>
      <c r="D210" s="457"/>
      <c r="E210" s="457"/>
      <c r="F210" s="457"/>
    </row>
    <row r="211" spans="2:6" ht="12.75">
      <c r="B211" s="457"/>
      <c r="C211" s="457"/>
      <c r="D211" s="457"/>
      <c r="E211" s="457"/>
      <c r="F211" s="457"/>
    </row>
    <row r="212" spans="2:6" ht="12.75">
      <c r="B212" s="457"/>
      <c r="C212" s="457"/>
      <c r="D212" s="457"/>
      <c r="E212" s="457"/>
      <c r="F212" s="457"/>
    </row>
    <row r="213" spans="2:6" ht="12.75">
      <c r="B213" s="457"/>
      <c r="C213" s="457"/>
      <c r="D213" s="457"/>
      <c r="E213" s="457"/>
      <c r="F213" s="457"/>
    </row>
    <row r="214" spans="2:6" ht="12.75">
      <c r="B214" s="457"/>
      <c r="C214" s="457"/>
      <c r="D214" s="457"/>
      <c r="E214" s="457"/>
      <c r="F214" s="457"/>
    </row>
    <row r="215" spans="2:6" ht="12.75">
      <c r="B215" s="457"/>
      <c r="C215" s="457"/>
      <c r="D215" s="457"/>
      <c r="E215" s="457"/>
      <c r="F215" s="457"/>
    </row>
    <row r="216" spans="2:6" ht="12.75">
      <c r="B216" s="457"/>
      <c r="C216" s="457"/>
      <c r="D216" s="457"/>
      <c r="E216" s="457"/>
      <c r="F216" s="457"/>
    </row>
    <row r="217" spans="2:6" ht="12.75">
      <c r="B217" s="457"/>
      <c r="C217" s="457"/>
      <c r="D217" s="457"/>
      <c r="E217" s="457"/>
      <c r="F217" s="457"/>
    </row>
    <row r="218" spans="2:6" ht="12.75">
      <c r="B218" s="457"/>
      <c r="C218" s="457"/>
      <c r="D218" s="457"/>
      <c r="E218" s="457"/>
      <c r="F218" s="457"/>
    </row>
    <row r="219" spans="2:6" ht="12.75">
      <c r="B219" s="457"/>
      <c r="C219" s="457"/>
      <c r="D219" s="457"/>
      <c r="E219" s="457"/>
      <c r="F219" s="457"/>
    </row>
    <row r="220" spans="2:6" ht="12.75">
      <c r="B220" s="457"/>
      <c r="C220" s="457"/>
      <c r="D220" s="457"/>
      <c r="E220" s="457"/>
      <c r="F220" s="457"/>
    </row>
    <row r="221" spans="2:6" ht="12.75">
      <c r="B221" s="457"/>
      <c r="C221" s="457"/>
      <c r="D221" s="457"/>
      <c r="E221" s="457"/>
      <c r="F221" s="457"/>
    </row>
    <row r="222" spans="2:6" ht="12.75">
      <c r="B222" s="457"/>
      <c r="C222" s="457"/>
      <c r="D222" s="457"/>
      <c r="E222" s="457"/>
      <c r="F222" s="457"/>
    </row>
    <row r="223" spans="2:6" ht="12.75">
      <c r="B223" s="457"/>
      <c r="C223" s="457"/>
      <c r="D223" s="457"/>
      <c r="E223" s="457"/>
      <c r="F223" s="457"/>
    </row>
    <row r="224" spans="2:6" ht="12.75">
      <c r="B224" s="457"/>
      <c r="C224" s="457"/>
      <c r="D224" s="457"/>
      <c r="E224" s="457"/>
      <c r="F224" s="457"/>
    </row>
    <row r="225" spans="2:6" ht="12.75">
      <c r="B225" s="457"/>
      <c r="C225" s="457"/>
      <c r="D225" s="457"/>
      <c r="E225" s="457"/>
      <c r="F225" s="457"/>
    </row>
    <row r="226" spans="2:6" ht="12.75">
      <c r="B226" s="457"/>
      <c r="C226" s="457"/>
      <c r="D226" s="457"/>
      <c r="E226" s="457"/>
      <c r="F226" s="457"/>
    </row>
    <row r="227" spans="2:6" ht="12.75">
      <c r="B227" s="457"/>
      <c r="C227" s="457"/>
      <c r="D227" s="457"/>
      <c r="E227" s="457"/>
      <c r="F227" s="457"/>
    </row>
    <row r="228" spans="2:6" ht="12.75">
      <c r="B228" s="457"/>
      <c r="C228" s="457"/>
      <c r="D228" s="457"/>
      <c r="E228" s="457"/>
      <c r="F228" s="457"/>
    </row>
    <row r="229" spans="2:6" ht="12.75">
      <c r="B229" s="457"/>
      <c r="C229" s="457"/>
      <c r="D229" s="457"/>
      <c r="E229" s="457"/>
      <c r="F229" s="457"/>
    </row>
    <row r="230" spans="2:6" ht="12.75">
      <c r="B230" s="457"/>
      <c r="C230" s="457"/>
      <c r="D230" s="457"/>
      <c r="E230" s="457"/>
      <c r="F230" s="457"/>
    </row>
    <row r="231" spans="2:6" ht="12.75">
      <c r="B231" s="457"/>
      <c r="C231" s="457"/>
      <c r="D231" s="457"/>
      <c r="E231" s="457"/>
      <c r="F231" s="457"/>
    </row>
    <row r="232" spans="2:6" ht="12.75">
      <c r="B232" s="457"/>
      <c r="C232" s="457"/>
      <c r="D232" s="457"/>
      <c r="E232" s="457"/>
      <c r="F232" s="457"/>
    </row>
    <row r="233" spans="2:6" ht="12.75">
      <c r="B233" s="457"/>
      <c r="C233" s="457"/>
      <c r="D233" s="457"/>
      <c r="E233" s="457"/>
      <c r="F233" s="457"/>
    </row>
    <row r="234" spans="2:6" ht="12.75">
      <c r="B234" s="457"/>
      <c r="C234" s="457"/>
      <c r="D234" s="457"/>
      <c r="E234" s="457"/>
      <c r="F234" s="457"/>
    </row>
    <row r="235" spans="2:6" ht="12.75">
      <c r="B235" s="457"/>
      <c r="C235" s="457"/>
      <c r="D235" s="457"/>
      <c r="E235" s="457"/>
      <c r="F235" s="457"/>
    </row>
    <row r="236" spans="2:6" ht="12.75">
      <c r="B236" s="457"/>
      <c r="C236" s="457"/>
      <c r="D236" s="457"/>
      <c r="E236" s="457"/>
      <c r="F236" s="457"/>
    </row>
    <row r="237" spans="2:6" ht="12.75">
      <c r="B237" s="457"/>
      <c r="C237" s="457"/>
      <c r="D237" s="457"/>
      <c r="E237" s="457"/>
      <c r="F237" s="457"/>
    </row>
    <row r="238" spans="2:6" ht="12.75">
      <c r="B238" s="457"/>
      <c r="C238" s="457"/>
      <c r="D238" s="457"/>
      <c r="E238" s="457"/>
      <c r="F238" s="457"/>
    </row>
    <row r="239" spans="2:6" ht="12.75">
      <c r="B239" s="457"/>
      <c r="C239" s="457"/>
      <c r="D239" s="457"/>
      <c r="E239" s="457"/>
      <c r="F239" s="457"/>
    </row>
    <row r="240" spans="2:6" ht="12.75">
      <c r="B240" s="457"/>
      <c r="C240" s="457"/>
      <c r="D240" s="457"/>
      <c r="E240" s="457"/>
      <c r="F240" s="457"/>
    </row>
    <row r="241" spans="2:6" ht="12.75">
      <c r="B241" s="457"/>
      <c r="C241" s="457"/>
      <c r="D241" s="457"/>
      <c r="E241" s="457"/>
      <c r="F241" s="457"/>
    </row>
    <row r="242" spans="2:6" ht="12.75">
      <c r="B242" s="457"/>
      <c r="C242" s="457"/>
      <c r="D242" s="457"/>
      <c r="E242" s="457"/>
      <c r="F242" s="457"/>
    </row>
    <row r="243" spans="2:6" ht="12.75">
      <c r="B243" s="457"/>
      <c r="C243" s="457"/>
      <c r="D243" s="457"/>
      <c r="E243" s="457"/>
      <c r="F243" s="457"/>
    </row>
    <row r="244" spans="2:6" ht="12.75">
      <c r="B244" s="457"/>
      <c r="C244" s="457"/>
      <c r="D244" s="457"/>
      <c r="E244" s="457"/>
      <c r="F244" s="457"/>
    </row>
    <row r="245" spans="2:6" ht="12.75">
      <c r="B245" s="457"/>
      <c r="C245" s="457"/>
      <c r="D245" s="457"/>
      <c r="E245" s="457"/>
      <c r="F245" s="457"/>
    </row>
    <row r="246" spans="2:6" ht="12.75">
      <c r="B246" s="457"/>
      <c r="C246" s="457"/>
      <c r="D246" s="457"/>
      <c r="E246" s="457"/>
      <c r="F246" s="457"/>
    </row>
    <row r="247" spans="2:6" ht="12.75">
      <c r="B247" s="457"/>
      <c r="C247" s="457"/>
      <c r="D247" s="457"/>
      <c r="E247" s="457"/>
      <c r="F247" s="457"/>
    </row>
    <row r="248" spans="2:6" ht="12.75">
      <c r="B248" s="457"/>
      <c r="C248" s="457"/>
      <c r="D248" s="457"/>
      <c r="E248" s="457"/>
      <c r="F248" s="457"/>
    </row>
    <row r="249" spans="2:6" ht="12.75">
      <c r="B249" s="457"/>
      <c r="C249" s="457"/>
      <c r="D249" s="457"/>
      <c r="E249" s="457"/>
      <c r="F249" s="457"/>
    </row>
    <row r="250" spans="2:6" ht="12.75">
      <c r="B250" s="457"/>
      <c r="C250" s="457"/>
      <c r="D250" s="457"/>
      <c r="E250" s="457"/>
      <c r="F250" s="457"/>
    </row>
    <row r="251" spans="2:6" ht="12.75">
      <c r="B251" s="457"/>
      <c r="C251" s="457"/>
      <c r="D251" s="457"/>
      <c r="E251" s="457"/>
      <c r="F251" s="457"/>
    </row>
    <row r="252" spans="2:6" ht="12.75">
      <c r="B252" s="457"/>
      <c r="C252" s="457"/>
      <c r="D252" s="457"/>
      <c r="E252" s="457"/>
      <c r="F252" s="457"/>
    </row>
    <row r="253" spans="2:6" ht="12.75">
      <c r="B253" s="457"/>
      <c r="C253" s="457"/>
      <c r="D253" s="457"/>
      <c r="E253" s="457"/>
      <c r="F253" s="457"/>
    </row>
    <row r="254" spans="2:6" ht="12.75">
      <c r="B254" s="457"/>
      <c r="C254" s="457"/>
      <c r="D254" s="457"/>
      <c r="E254" s="457"/>
      <c r="F254" s="457"/>
    </row>
    <row r="255" spans="2:6" ht="12.75">
      <c r="B255" s="457"/>
      <c r="C255" s="457"/>
      <c r="D255" s="457"/>
      <c r="E255" s="457"/>
      <c r="F255" s="457"/>
    </row>
    <row r="256" spans="2:6" ht="12.75">
      <c r="B256" s="457"/>
      <c r="C256" s="457"/>
      <c r="D256" s="457"/>
      <c r="E256" s="457"/>
      <c r="F256" s="457"/>
    </row>
    <row r="257" spans="2:6" ht="12.75">
      <c r="B257" s="457"/>
      <c r="C257" s="457"/>
      <c r="D257" s="457"/>
      <c r="E257" s="457"/>
      <c r="F257" s="457"/>
    </row>
    <row r="258" spans="2:6" ht="12.75">
      <c r="B258" s="457"/>
      <c r="C258" s="457"/>
      <c r="D258" s="457"/>
      <c r="E258" s="457"/>
      <c r="F258" s="457"/>
    </row>
    <row r="259" spans="2:6" ht="12.75">
      <c r="B259" s="457"/>
      <c r="C259" s="457"/>
      <c r="D259" s="457"/>
      <c r="E259" s="457"/>
      <c r="F259" s="457"/>
    </row>
    <row r="260" spans="2:6" ht="12.75">
      <c r="B260" s="457"/>
      <c r="C260" s="457"/>
      <c r="D260" s="457"/>
      <c r="E260" s="457"/>
      <c r="F260" s="457"/>
    </row>
    <row r="261" spans="2:6" ht="12.75">
      <c r="B261" s="457"/>
      <c r="C261" s="457"/>
      <c r="D261" s="457"/>
      <c r="E261" s="457"/>
      <c r="F261" s="457"/>
    </row>
    <row r="262" spans="2:6" ht="12.75">
      <c r="B262" s="457"/>
      <c r="C262" s="457"/>
      <c r="D262" s="457"/>
      <c r="E262" s="457"/>
      <c r="F262" s="457"/>
    </row>
    <row r="263" spans="2:6" ht="12.75">
      <c r="B263" s="457"/>
      <c r="C263" s="457"/>
      <c r="D263" s="457"/>
      <c r="E263" s="457"/>
      <c r="F263" s="457"/>
    </row>
    <row r="264" spans="2:6" ht="12.75">
      <c r="B264" s="457"/>
      <c r="C264" s="457"/>
      <c r="D264" s="457"/>
      <c r="E264" s="457"/>
      <c r="F264" s="457"/>
    </row>
    <row r="265" spans="2:6" ht="12.75">
      <c r="B265" s="457"/>
      <c r="C265" s="457"/>
      <c r="D265" s="457"/>
      <c r="E265" s="457"/>
      <c r="F265" s="457"/>
    </row>
    <row r="266" spans="2:6" ht="12.75">
      <c r="B266" s="457"/>
      <c r="C266" s="457"/>
      <c r="D266" s="457"/>
      <c r="E266" s="457"/>
      <c r="F266" s="457"/>
    </row>
    <row r="267" spans="2:6" ht="12.75">
      <c r="B267" s="457"/>
      <c r="C267" s="457"/>
      <c r="D267" s="457"/>
      <c r="E267" s="457"/>
      <c r="F267" s="457"/>
    </row>
    <row r="268" spans="2:6" ht="12.75">
      <c r="B268" s="457"/>
      <c r="C268" s="457"/>
      <c r="D268" s="457"/>
      <c r="E268" s="457"/>
      <c r="F268" s="457"/>
    </row>
    <row r="269" spans="2:6" ht="12.75">
      <c r="B269" s="457"/>
      <c r="C269" s="457"/>
      <c r="D269" s="457"/>
      <c r="E269" s="457"/>
      <c r="F269" s="457"/>
    </row>
    <row r="270" spans="2:6" ht="12.75">
      <c r="B270" s="457"/>
      <c r="C270" s="457"/>
      <c r="D270" s="457"/>
      <c r="E270" s="457"/>
      <c r="F270" s="457"/>
    </row>
    <row r="271" spans="2:6" ht="12.75">
      <c r="B271" s="457"/>
      <c r="C271" s="457"/>
      <c r="D271" s="457"/>
      <c r="E271" s="457"/>
      <c r="F271" s="457"/>
    </row>
    <row r="272" spans="2:6" ht="12.75">
      <c r="B272" s="457"/>
      <c r="C272" s="457"/>
      <c r="D272" s="457"/>
      <c r="E272" s="457"/>
      <c r="F272" s="457"/>
    </row>
    <row r="273" spans="2:6" ht="12.75">
      <c r="B273" s="457"/>
      <c r="C273" s="457"/>
      <c r="D273" s="457"/>
      <c r="E273" s="457"/>
      <c r="F273" s="457"/>
    </row>
    <row r="274" spans="2:6" ht="12.75">
      <c r="B274" s="457"/>
      <c r="C274" s="457"/>
      <c r="D274" s="457"/>
      <c r="E274" s="457"/>
      <c r="F274" s="457"/>
    </row>
    <row r="275" spans="2:6" ht="12.75">
      <c r="B275" s="457"/>
      <c r="C275" s="457"/>
      <c r="D275" s="457"/>
      <c r="E275" s="457"/>
      <c r="F275" s="457"/>
    </row>
    <row r="276" spans="2:6" ht="12.75">
      <c r="B276" s="457"/>
      <c r="C276" s="457"/>
      <c r="D276" s="457"/>
      <c r="E276" s="457"/>
      <c r="F276" s="457"/>
    </row>
    <row r="277" spans="2:6" ht="12.75">
      <c r="B277" s="457"/>
      <c r="C277" s="457"/>
      <c r="D277" s="457"/>
      <c r="E277" s="457"/>
      <c r="F277" s="457"/>
    </row>
    <row r="278" spans="2:6" ht="12.75">
      <c r="B278" s="457"/>
      <c r="C278" s="457"/>
      <c r="D278" s="457"/>
      <c r="E278" s="457"/>
      <c r="F278" s="457"/>
    </row>
    <row r="279" spans="2:6" ht="12.75">
      <c r="B279" s="457"/>
      <c r="C279" s="457"/>
      <c r="D279" s="457"/>
      <c r="E279" s="457"/>
      <c r="F279" s="457"/>
    </row>
    <row r="280" spans="2:6" ht="12.75">
      <c r="B280" s="457"/>
      <c r="C280" s="457"/>
      <c r="D280" s="457"/>
      <c r="E280" s="457"/>
      <c r="F280" s="457"/>
    </row>
    <row r="281" spans="2:6" ht="12.75">
      <c r="B281" s="457"/>
      <c r="C281" s="457"/>
      <c r="D281" s="457"/>
      <c r="E281" s="457"/>
      <c r="F281" s="457"/>
    </row>
    <row r="282" spans="2:6" ht="12.75">
      <c r="B282" s="457"/>
      <c r="C282" s="457"/>
      <c r="D282" s="457"/>
      <c r="E282" s="457"/>
      <c r="F282" s="457"/>
    </row>
    <row r="283" spans="2:6" ht="12.75">
      <c r="B283" s="457"/>
      <c r="C283" s="457"/>
      <c r="D283" s="457"/>
      <c r="E283" s="457"/>
      <c r="F283" s="457"/>
    </row>
    <row r="284" spans="2:6" ht="12.75">
      <c r="B284" s="457"/>
      <c r="C284" s="457"/>
      <c r="D284" s="457"/>
      <c r="E284" s="457"/>
      <c r="F284" s="457"/>
    </row>
    <row r="285" spans="2:6" ht="12.75">
      <c r="B285" s="457"/>
      <c r="C285" s="457"/>
      <c r="D285" s="457"/>
      <c r="E285" s="457"/>
      <c r="F285" s="457"/>
    </row>
    <row r="286" spans="2:6" ht="12.75">
      <c r="B286" s="457"/>
      <c r="C286" s="457"/>
      <c r="D286" s="457"/>
      <c r="E286" s="457"/>
      <c r="F286" s="457"/>
    </row>
    <row r="287" spans="2:6" ht="12.75">
      <c r="B287" s="457"/>
      <c r="C287" s="457"/>
      <c r="D287" s="457"/>
      <c r="E287" s="457"/>
      <c r="F287" s="457"/>
    </row>
    <row r="288" spans="2:6" ht="12.75">
      <c r="B288" s="457"/>
      <c r="C288" s="457"/>
      <c r="D288" s="457"/>
      <c r="E288" s="457"/>
      <c r="F288" s="457"/>
    </row>
    <row r="289" spans="2:6" ht="12.75">
      <c r="B289" s="457"/>
      <c r="C289" s="457"/>
      <c r="D289" s="457"/>
      <c r="E289" s="457"/>
      <c r="F289" s="457"/>
    </row>
    <row r="290" spans="2:6" ht="12.75">
      <c r="B290" s="457"/>
      <c r="C290" s="457"/>
      <c r="D290" s="457"/>
      <c r="E290" s="457"/>
      <c r="F290" s="457"/>
    </row>
    <row r="291" spans="2:6" ht="12.75">
      <c r="B291" s="457"/>
      <c r="C291" s="457"/>
      <c r="D291" s="457"/>
      <c r="E291" s="457"/>
      <c r="F291" s="457"/>
    </row>
    <row r="292" spans="2:6" ht="12.75">
      <c r="B292" s="457"/>
      <c r="C292" s="457"/>
      <c r="D292" s="457"/>
      <c r="E292" s="457"/>
      <c r="F292" s="457"/>
    </row>
    <row r="293" spans="2:6" ht="12.75">
      <c r="B293" s="457"/>
      <c r="C293" s="457"/>
      <c r="D293" s="457"/>
      <c r="E293" s="457"/>
      <c r="F293" s="457"/>
    </row>
    <row r="294" spans="2:6" ht="12.75">
      <c r="B294" s="457"/>
      <c r="C294" s="457"/>
      <c r="D294" s="457"/>
      <c r="E294" s="457"/>
      <c r="F294" s="457"/>
    </row>
    <row r="295" spans="2:6" ht="12.75">
      <c r="B295" s="457"/>
      <c r="C295" s="457"/>
      <c r="D295" s="457"/>
      <c r="E295" s="457"/>
      <c r="F295" s="457"/>
    </row>
    <row r="296" spans="2:6" ht="12.75">
      <c r="B296" s="457"/>
      <c r="C296" s="457"/>
      <c r="D296" s="457"/>
      <c r="E296" s="457"/>
      <c r="F296" s="457"/>
    </row>
    <row r="297" spans="2:6" ht="12.75">
      <c r="B297" s="457"/>
      <c r="C297" s="457"/>
      <c r="D297" s="457"/>
      <c r="E297" s="457"/>
      <c r="F297" s="457"/>
    </row>
    <row r="298" spans="2:6" ht="12.75">
      <c r="B298" s="457"/>
      <c r="C298" s="457"/>
      <c r="D298" s="457"/>
      <c r="E298" s="457"/>
      <c r="F298" s="457"/>
    </row>
    <row r="299" spans="2:6" ht="12.75">
      <c r="B299" s="457"/>
      <c r="C299" s="457"/>
      <c r="D299" s="457"/>
      <c r="E299" s="457"/>
      <c r="F299" s="457"/>
    </row>
    <row r="300" spans="2:6" ht="12.75">
      <c r="B300" s="457"/>
      <c r="C300" s="457"/>
      <c r="D300" s="457"/>
      <c r="E300" s="457"/>
      <c r="F300" s="457"/>
    </row>
    <row r="301" spans="2:6" ht="12.75">
      <c r="B301" s="457"/>
      <c r="C301" s="457"/>
      <c r="D301" s="457"/>
      <c r="E301" s="457"/>
      <c r="F301" s="457"/>
    </row>
    <row r="302" spans="2:6" ht="12.75">
      <c r="B302" s="457"/>
      <c r="C302" s="457"/>
      <c r="D302" s="457"/>
      <c r="E302" s="457"/>
      <c r="F302" s="457"/>
    </row>
    <row r="303" spans="2:6" ht="12.75">
      <c r="B303" s="457"/>
      <c r="C303" s="457"/>
      <c r="D303" s="457"/>
      <c r="E303" s="457"/>
      <c r="F303" s="457"/>
    </row>
    <row r="304" spans="2:6" ht="12.75">
      <c r="B304" s="457"/>
      <c r="C304" s="457"/>
      <c r="D304" s="457"/>
      <c r="E304" s="457"/>
      <c r="F304" s="457"/>
    </row>
    <row r="305" spans="2:6" ht="12.75">
      <c r="B305" s="457"/>
      <c r="C305" s="457"/>
      <c r="D305" s="457"/>
      <c r="E305" s="457"/>
      <c r="F305" s="457"/>
    </row>
    <row r="306" spans="2:6" ht="12.75">
      <c r="B306" s="457"/>
      <c r="C306" s="457"/>
      <c r="D306" s="457"/>
      <c r="E306" s="457"/>
      <c r="F306" s="457"/>
    </row>
    <row r="307" spans="2:6" ht="12.75">
      <c r="B307" s="457"/>
      <c r="C307" s="457"/>
      <c r="D307" s="457"/>
      <c r="E307" s="457"/>
      <c r="F307" s="457"/>
    </row>
    <row r="308" spans="2:6" ht="12.75">
      <c r="B308" s="457"/>
      <c r="C308" s="457"/>
      <c r="D308" s="457"/>
      <c r="E308" s="457"/>
      <c r="F308" s="457"/>
    </row>
    <row r="309" spans="2:6" ht="12.75">
      <c r="B309" s="457"/>
      <c r="C309" s="457"/>
      <c r="D309" s="457"/>
      <c r="E309" s="457"/>
      <c r="F309" s="457"/>
    </row>
    <row r="310" spans="2:6" ht="12.75">
      <c r="B310" s="457"/>
      <c r="C310" s="457"/>
      <c r="D310" s="457"/>
      <c r="E310" s="457"/>
      <c r="F310" s="457"/>
    </row>
    <row r="311" spans="2:6" ht="12.75">
      <c r="B311" s="457"/>
      <c r="C311" s="457"/>
      <c r="D311" s="457"/>
      <c r="E311" s="457"/>
      <c r="F311" s="457"/>
    </row>
    <row r="312" spans="2:6" ht="12.75">
      <c r="B312" s="457"/>
      <c r="C312" s="457"/>
      <c r="D312" s="457"/>
      <c r="E312" s="457"/>
      <c r="F312" s="457"/>
    </row>
    <row r="313" spans="2:6" ht="12.75">
      <c r="B313" s="457"/>
      <c r="C313" s="457"/>
      <c r="D313" s="457"/>
      <c r="E313" s="457"/>
      <c r="F313" s="457"/>
    </row>
    <row r="314" spans="2:6" ht="12.75">
      <c r="B314" s="457"/>
      <c r="C314" s="457"/>
      <c r="D314" s="457"/>
      <c r="E314" s="457"/>
      <c r="F314" s="457"/>
    </row>
    <row r="315" spans="2:6" ht="12.75">
      <c r="B315" s="457"/>
      <c r="C315" s="457"/>
      <c r="D315" s="457"/>
      <c r="E315" s="457"/>
      <c r="F315" s="457"/>
    </row>
    <row r="316" spans="2:6" ht="12.75">
      <c r="B316" s="457"/>
      <c r="C316" s="457"/>
      <c r="D316" s="457"/>
      <c r="E316" s="457"/>
      <c r="F316" s="457"/>
    </row>
    <row r="317" spans="2:6" ht="12.75">
      <c r="B317" s="457"/>
      <c r="C317" s="457"/>
      <c r="D317" s="457"/>
      <c r="E317" s="457"/>
      <c r="F317" s="457"/>
    </row>
    <row r="318" spans="2:6" ht="12.75">
      <c r="B318" s="457"/>
      <c r="C318" s="457"/>
      <c r="D318" s="457"/>
      <c r="E318" s="457"/>
      <c r="F318" s="457"/>
    </row>
    <row r="319" spans="2:6" ht="12.75">
      <c r="B319" s="457"/>
      <c r="C319" s="457"/>
      <c r="D319" s="457"/>
      <c r="E319" s="457"/>
      <c r="F319" s="457"/>
    </row>
    <row r="320" spans="2:6" ht="12.75">
      <c r="B320" s="457"/>
      <c r="C320" s="457"/>
      <c r="D320" s="457"/>
      <c r="E320" s="457"/>
      <c r="F320" s="457"/>
    </row>
    <row r="321" spans="2:6" ht="12.75">
      <c r="B321" s="457"/>
      <c r="C321" s="457"/>
      <c r="D321" s="457"/>
      <c r="E321" s="457"/>
      <c r="F321" s="457"/>
    </row>
    <row r="322" spans="2:6" ht="12.75">
      <c r="B322" s="457"/>
      <c r="C322" s="457"/>
      <c r="D322" s="457"/>
      <c r="E322" s="457"/>
      <c r="F322" s="457"/>
    </row>
    <row r="323" spans="2:6" ht="12.75">
      <c r="B323" s="457"/>
      <c r="C323" s="457"/>
      <c r="D323" s="457"/>
      <c r="E323" s="457"/>
      <c r="F323" s="457"/>
    </row>
    <row r="324" spans="2:6" ht="12.75">
      <c r="B324" s="457"/>
      <c r="C324" s="457"/>
      <c r="D324" s="457"/>
      <c r="E324" s="457"/>
      <c r="F324" s="457"/>
    </row>
    <row r="325" spans="2:6" ht="12.75">
      <c r="B325" s="457"/>
      <c r="C325" s="457"/>
      <c r="D325" s="457"/>
      <c r="E325" s="457"/>
      <c r="F325" s="457"/>
    </row>
    <row r="326" spans="2:6" ht="12.75">
      <c r="B326" s="457"/>
      <c r="C326" s="457"/>
      <c r="D326" s="457"/>
      <c r="E326" s="457"/>
      <c r="F326" s="457"/>
    </row>
    <row r="327" spans="2:6" ht="12.75">
      <c r="B327" s="457"/>
      <c r="C327" s="457"/>
      <c r="D327" s="457"/>
      <c r="E327" s="457"/>
      <c r="F327" s="457"/>
    </row>
    <row r="328" spans="2:6" ht="12.75">
      <c r="B328" s="457"/>
      <c r="C328" s="457"/>
      <c r="D328" s="457"/>
      <c r="E328" s="457"/>
      <c r="F328" s="457"/>
    </row>
    <row r="329" spans="2:6" ht="12.75">
      <c r="B329" s="457"/>
      <c r="C329" s="457"/>
      <c r="D329" s="457"/>
      <c r="E329" s="457"/>
      <c r="F329" s="457"/>
    </row>
    <row r="330" spans="2:6" ht="12.75">
      <c r="B330" s="457"/>
      <c r="C330" s="457"/>
      <c r="D330" s="457"/>
      <c r="E330" s="457"/>
      <c r="F330" s="457"/>
    </row>
    <row r="331" spans="2:6" ht="12.75">
      <c r="B331" s="457"/>
      <c r="C331" s="457"/>
      <c r="D331" s="457"/>
      <c r="E331" s="457"/>
      <c r="F331" s="457"/>
    </row>
    <row r="332" spans="2:6" ht="12.75">
      <c r="B332" s="457"/>
      <c r="C332" s="457"/>
      <c r="D332" s="457"/>
      <c r="E332" s="457"/>
      <c r="F332" s="457"/>
    </row>
    <row r="333" spans="2:6" ht="12.75">
      <c r="B333" s="457"/>
      <c r="C333" s="457"/>
      <c r="D333" s="457"/>
      <c r="E333" s="457"/>
      <c r="F333" s="457"/>
    </row>
    <row r="334" spans="2:6" ht="12.75">
      <c r="B334" s="457"/>
      <c r="C334" s="457"/>
      <c r="D334" s="457"/>
      <c r="E334" s="457"/>
      <c r="F334" s="457"/>
    </row>
    <row r="335" spans="2:6" ht="12.75">
      <c r="B335" s="457"/>
      <c r="C335" s="457"/>
      <c r="D335" s="457"/>
      <c r="E335" s="457"/>
      <c r="F335" s="457"/>
    </row>
    <row r="336" spans="2:6" ht="12.75">
      <c r="B336" s="457"/>
      <c r="C336" s="457"/>
      <c r="D336" s="457"/>
      <c r="E336" s="457"/>
      <c r="F336" s="457"/>
    </row>
    <row r="337" spans="2:6" ht="12.75">
      <c r="B337" s="457"/>
      <c r="C337" s="457"/>
      <c r="D337" s="457"/>
      <c r="E337" s="457"/>
      <c r="F337" s="457"/>
    </row>
    <row r="338" spans="2:6" ht="12.75">
      <c r="B338" s="457"/>
      <c r="C338" s="457"/>
      <c r="D338" s="457"/>
      <c r="E338" s="457"/>
      <c r="F338" s="457"/>
    </row>
    <row r="339" spans="2:6" ht="12.75">
      <c r="B339" s="457"/>
      <c r="C339" s="457"/>
      <c r="D339" s="457"/>
      <c r="E339" s="457"/>
      <c r="F339" s="457"/>
    </row>
    <row r="340" spans="2:6" ht="12.75">
      <c r="B340" s="457"/>
      <c r="C340" s="457"/>
      <c r="D340" s="457"/>
      <c r="E340" s="457"/>
      <c r="F340" s="457"/>
    </row>
    <row r="341" spans="2:6" ht="12.75">
      <c r="B341" s="457"/>
      <c r="C341" s="457"/>
      <c r="D341" s="457"/>
      <c r="E341" s="457"/>
      <c r="F341" s="457"/>
    </row>
    <row r="342" spans="2:6" ht="12.75">
      <c r="B342" s="457"/>
      <c r="C342" s="457"/>
      <c r="D342" s="457"/>
      <c r="E342" s="457"/>
      <c r="F342" s="457"/>
    </row>
    <row r="343" spans="2:6" ht="12.75">
      <c r="B343" s="457"/>
      <c r="C343" s="457"/>
      <c r="D343" s="457"/>
      <c r="E343" s="457"/>
      <c r="F343" s="457"/>
    </row>
    <row r="344" spans="2:6" ht="12.75">
      <c r="B344" s="457"/>
      <c r="C344" s="457"/>
      <c r="D344" s="457"/>
      <c r="E344" s="457"/>
      <c r="F344" s="457"/>
    </row>
    <row r="345" spans="2:6" ht="12.75">
      <c r="B345" s="457"/>
      <c r="C345" s="457"/>
      <c r="D345" s="457"/>
      <c r="E345" s="457"/>
      <c r="F345" s="457"/>
    </row>
    <row r="346" spans="2:6" ht="12.75">
      <c r="B346" s="457"/>
      <c r="C346" s="457"/>
      <c r="D346" s="457"/>
      <c r="E346" s="457"/>
      <c r="F346" s="457"/>
    </row>
    <row r="347" spans="2:6" ht="12.75">
      <c r="B347" s="457"/>
      <c r="C347" s="457"/>
      <c r="D347" s="457"/>
      <c r="E347" s="457"/>
      <c r="F347" s="457"/>
    </row>
    <row r="348" spans="2:6" ht="12.75">
      <c r="B348" s="457"/>
      <c r="C348" s="457"/>
      <c r="D348" s="457"/>
      <c r="E348" s="457"/>
      <c r="F348" s="457"/>
    </row>
    <row r="349" spans="2:6" ht="12.75">
      <c r="B349" s="457"/>
      <c r="C349" s="457"/>
      <c r="D349" s="457"/>
      <c r="E349" s="457"/>
      <c r="F349" s="457"/>
    </row>
    <row r="350" spans="2:6" ht="12.75">
      <c r="B350" s="457"/>
      <c r="C350" s="457"/>
      <c r="D350" s="457"/>
      <c r="E350" s="457"/>
      <c r="F350" s="457"/>
    </row>
    <row r="351" spans="2:6" ht="12.75">
      <c r="B351" s="457"/>
      <c r="C351" s="457"/>
      <c r="D351" s="457"/>
      <c r="E351" s="457"/>
      <c r="F351" s="457"/>
    </row>
    <row r="352" spans="2:6" ht="12.75">
      <c r="B352" s="457"/>
      <c r="C352" s="457"/>
      <c r="D352" s="457"/>
      <c r="E352" s="457"/>
      <c r="F352" s="457"/>
    </row>
    <row r="353" spans="2:6" ht="12.75">
      <c r="B353" s="457"/>
      <c r="C353" s="457"/>
      <c r="D353" s="457"/>
      <c r="E353" s="457"/>
      <c r="F353" s="457"/>
    </row>
    <row r="354" spans="2:6" ht="12.75">
      <c r="B354" s="457"/>
      <c r="C354" s="457"/>
      <c r="D354" s="457"/>
      <c r="E354" s="457"/>
      <c r="F354" s="457"/>
    </row>
    <row r="355" spans="2:6" ht="12.75">
      <c r="B355" s="457"/>
      <c r="C355" s="457"/>
      <c r="D355" s="457"/>
      <c r="E355" s="457"/>
      <c r="F355" s="457"/>
    </row>
    <row r="356" spans="2:6" ht="12.75">
      <c r="B356" s="457"/>
      <c r="C356" s="457"/>
      <c r="D356" s="457"/>
      <c r="E356" s="457"/>
      <c r="F356" s="457"/>
    </row>
    <row r="357" spans="2:6" ht="12.75">
      <c r="B357" s="457"/>
      <c r="C357" s="457"/>
      <c r="D357" s="457"/>
      <c r="E357" s="457"/>
      <c r="F357" s="457"/>
    </row>
    <row r="358" spans="2:6" ht="12.75">
      <c r="B358" s="457"/>
      <c r="C358" s="457"/>
      <c r="D358" s="457"/>
      <c r="E358" s="457"/>
      <c r="F358" s="457"/>
    </row>
    <row r="359" spans="2:6" ht="12.75">
      <c r="B359" s="457"/>
      <c r="C359" s="457"/>
      <c r="D359" s="457"/>
      <c r="E359" s="457"/>
      <c r="F359" s="457"/>
    </row>
    <row r="360" spans="2:6" ht="12.75">
      <c r="B360" s="457"/>
      <c r="C360" s="457"/>
      <c r="D360" s="457"/>
      <c r="E360" s="457"/>
      <c r="F360" s="457"/>
    </row>
    <row r="361" spans="2:6" ht="12.75">
      <c r="B361" s="457"/>
      <c r="C361" s="457"/>
      <c r="D361" s="457"/>
      <c r="E361" s="457"/>
      <c r="F361" s="457"/>
    </row>
    <row r="362" spans="2:6" ht="12.75">
      <c r="B362" s="457"/>
      <c r="C362" s="457"/>
      <c r="D362" s="457"/>
      <c r="E362" s="457"/>
      <c r="F362" s="457"/>
    </row>
    <row r="363" spans="2:6" ht="12.75">
      <c r="B363" s="457"/>
      <c r="C363" s="457"/>
      <c r="D363" s="457"/>
      <c r="E363" s="457"/>
      <c r="F363" s="457"/>
    </row>
    <row r="364" spans="2:6" ht="12.75">
      <c r="B364" s="457"/>
      <c r="C364" s="457"/>
      <c r="D364" s="457"/>
      <c r="E364" s="457"/>
      <c r="F364" s="457"/>
    </row>
    <row r="365" spans="2:6" ht="12.75">
      <c r="B365" s="457"/>
      <c r="C365" s="457"/>
      <c r="D365" s="457"/>
      <c r="E365" s="457"/>
      <c r="F365" s="457"/>
    </row>
    <row r="366" spans="2:6" ht="12.75">
      <c r="B366" s="457"/>
      <c r="C366" s="457"/>
      <c r="D366" s="457"/>
      <c r="E366" s="457"/>
      <c r="F366" s="457"/>
    </row>
    <row r="367" spans="2:6" ht="12.75">
      <c r="B367" s="457"/>
      <c r="C367" s="457"/>
      <c r="D367" s="457"/>
      <c r="E367" s="457"/>
      <c r="F367" s="457"/>
    </row>
    <row r="368" spans="2:6" ht="12.75">
      <c r="B368" s="457"/>
      <c r="C368" s="457"/>
      <c r="D368" s="457"/>
      <c r="E368" s="457"/>
      <c r="F368" s="457"/>
    </row>
    <row r="369" spans="2:6" ht="12.75">
      <c r="B369" s="457"/>
      <c r="C369" s="457"/>
      <c r="D369" s="457"/>
      <c r="E369" s="457"/>
      <c r="F369" s="457"/>
    </row>
    <row r="370" spans="2:6" ht="12.75">
      <c r="B370" s="457"/>
      <c r="C370" s="457"/>
      <c r="D370" s="457"/>
      <c r="E370" s="457"/>
      <c r="F370" s="457"/>
    </row>
    <row r="371" spans="2:6" ht="12.75">
      <c r="B371" s="457"/>
      <c r="C371" s="457"/>
      <c r="D371" s="457"/>
      <c r="E371" s="457"/>
      <c r="F371" s="457"/>
    </row>
    <row r="372" spans="2:6" ht="12.75">
      <c r="B372" s="457"/>
      <c r="C372" s="457"/>
      <c r="D372" s="457"/>
      <c r="E372" s="457"/>
      <c r="F372" s="457"/>
    </row>
    <row r="373" spans="2:6" ht="12.75">
      <c r="B373" s="457"/>
      <c r="C373" s="457"/>
      <c r="D373" s="457"/>
      <c r="E373" s="457"/>
      <c r="F373" s="457"/>
    </row>
    <row r="374" spans="2:6" ht="12.75">
      <c r="B374" s="457"/>
      <c r="C374" s="457"/>
      <c r="D374" s="457"/>
      <c r="E374" s="457"/>
      <c r="F374" s="457"/>
    </row>
    <row r="375" spans="2:6" ht="12.75">
      <c r="B375" s="457"/>
      <c r="C375" s="457"/>
      <c r="D375" s="457"/>
      <c r="E375" s="457"/>
      <c r="F375" s="457"/>
    </row>
    <row r="376" spans="2:6" ht="12.75">
      <c r="B376" s="457"/>
      <c r="C376" s="457"/>
      <c r="D376" s="457"/>
      <c r="E376" s="457"/>
      <c r="F376" s="457"/>
    </row>
    <row r="377" spans="2:6" ht="12.75">
      <c r="B377" s="457"/>
      <c r="C377" s="457"/>
      <c r="D377" s="457"/>
      <c r="E377" s="457"/>
      <c r="F377" s="457"/>
    </row>
    <row r="378" spans="2:6" ht="12.75">
      <c r="B378" s="457"/>
      <c r="C378" s="457"/>
      <c r="D378" s="457"/>
      <c r="E378" s="457"/>
      <c r="F378" s="457"/>
    </row>
    <row r="379" spans="2:6" ht="12.75">
      <c r="B379" s="457"/>
      <c r="C379" s="457"/>
      <c r="D379" s="457"/>
      <c r="E379" s="457"/>
      <c r="F379" s="457"/>
    </row>
    <row r="380" spans="2:6" ht="12.75">
      <c r="B380" s="457"/>
      <c r="C380" s="457"/>
      <c r="D380" s="457"/>
      <c r="E380" s="457"/>
      <c r="F380" s="457"/>
    </row>
    <row r="381" spans="2:6" ht="12.75">
      <c r="B381" s="457"/>
      <c r="C381" s="457"/>
      <c r="D381" s="457"/>
      <c r="E381" s="457"/>
      <c r="F381" s="457"/>
    </row>
    <row r="382" spans="2:6" ht="12.75">
      <c r="B382" s="457"/>
      <c r="C382" s="457"/>
      <c r="D382" s="457"/>
      <c r="E382" s="457"/>
      <c r="F382" s="457"/>
    </row>
    <row r="383" spans="2:6" ht="12.75">
      <c r="B383" s="457"/>
      <c r="C383" s="457"/>
      <c r="D383" s="457"/>
      <c r="E383" s="457"/>
      <c r="F383" s="457"/>
    </row>
    <row r="384" spans="2:6" ht="12.75">
      <c r="B384" s="457"/>
      <c r="C384" s="457"/>
      <c r="D384" s="457"/>
      <c r="E384" s="457"/>
      <c r="F384" s="457"/>
    </row>
    <row r="385" spans="2:6" ht="12.75">
      <c r="B385" s="457"/>
      <c r="C385" s="457"/>
      <c r="D385" s="457"/>
      <c r="E385" s="457"/>
      <c r="F385" s="457"/>
    </row>
    <row r="386" spans="2:6" ht="12.75">
      <c r="B386" s="457"/>
      <c r="C386" s="457"/>
      <c r="D386" s="457"/>
      <c r="E386" s="457"/>
      <c r="F386" s="457"/>
    </row>
    <row r="387" spans="2:6" ht="12.75">
      <c r="B387" s="457"/>
      <c r="C387" s="457"/>
      <c r="D387" s="457"/>
      <c r="E387" s="457"/>
      <c r="F387" s="457"/>
    </row>
    <row r="388" spans="2:6" ht="12.75">
      <c r="B388" s="457"/>
      <c r="C388" s="457"/>
      <c r="D388" s="457"/>
      <c r="E388" s="457"/>
      <c r="F388" s="457"/>
    </row>
    <row r="389" spans="2:6" ht="12.75">
      <c r="B389" s="457"/>
      <c r="C389" s="457"/>
      <c r="D389" s="457"/>
      <c r="E389" s="457"/>
      <c r="F389" s="457"/>
    </row>
    <row r="390" spans="2:6" ht="12.75">
      <c r="B390" s="457"/>
      <c r="C390" s="457"/>
      <c r="D390" s="457"/>
      <c r="E390" s="457"/>
      <c r="F390" s="457"/>
    </row>
    <row r="391" spans="2:6" ht="12.75">
      <c r="B391" s="457"/>
      <c r="C391" s="457"/>
      <c r="D391" s="457"/>
      <c r="E391" s="457"/>
      <c r="F391" s="457"/>
    </row>
    <row r="392" spans="2:6" ht="12.75">
      <c r="B392" s="457"/>
      <c r="C392" s="457"/>
      <c r="D392" s="457"/>
      <c r="E392" s="457"/>
      <c r="F392" s="457"/>
    </row>
    <row r="393" spans="2:6" ht="12.75">
      <c r="B393" s="457"/>
      <c r="C393" s="457"/>
      <c r="D393" s="457"/>
      <c r="E393" s="457"/>
      <c r="F393" s="457"/>
    </row>
    <row r="394" spans="2:6" ht="12.75">
      <c r="B394" s="457"/>
      <c r="C394" s="457"/>
      <c r="D394" s="457"/>
      <c r="E394" s="457"/>
      <c r="F394" s="457"/>
    </row>
    <row r="395" spans="2:6" ht="12.75">
      <c r="B395" s="457"/>
      <c r="C395" s="457"/>
      <c r="D395" s="457"/>
      <c r="E395" s="457"/>
      <c r="F395" s="457"/>
    </row>
    <row r="396" spans="2:6" ht="12.75">
      <c r="B396" s="457"/>
      <c r="C396" s="457"/>
      <c r="D396" s="457"/>
      <c r="E396" s="457"/>
      <c r="F396" s="457"/>
    </row>
    <row r="397" spans="2:6" ht="12.75">
      <c r="B397" s="457"/>
      <c r="C397" s="457"/>
      <c r="D397" s="457"/>
      <c r="E397" s="457"/>
      <c r="F397" s="457"/>
    </row>
    <row r="398" spans="2:6" ht="12.75">
      <c r="B398" s="457"/>
      <c r="C398" s="457"/>
      <c r="D398" s="457"/>
      <c r="E398" s="457"/>
      <c r="F398" s="457"/>
    </row>
    <row r="399" spans="2:6" ht="12.75">
      <c r="B399" s="457"/>
      <c r="C399" s="457"/>
      <c r="D399" s="457"/>
      <c r="E399" s="457"/>
      <c r="F399" s="457"/>
    </row>
    <row r="400" spans="2:6" ht="12.75">
      <c r="B400" s="457"/>
      <c r="C400" s="457"/>
      <c r="D400" s="457"/>
      <c r="E400" s="457"/>
      <c r="F400" s="457"/>
    </row>
    <row r="401" spans="2:6" ht="12.75">
      <c r="B401" s="457"/>
      <c r="C401" s="457"/>
      <c r="D401" s="457"/>
      <c r="E401" s="457"/>
      <c r="F401" s="457"/>
    </row>
    <row r="402" spans="2:6" ht="12.75">
      <c r="B402" s="457"/>
      <c r="C402" s="457"/>
      <c r="D402" s="457"/>
      <c r="E402" s="457"/>
      <c r="F402" s="457"/>
    </row>
    <row r="403" spans="2:6" ht="12.75">
      <c r="B403" s="457"/>
      <c r="C403" s="457"/>
      <c r="D403" s="457"/>
      <c r="E403" s="457"/>
      <c r="F403" s="457"/>
    </row>
    <row r="404" spans="2:6" ht="12.75">
      <c r="B404" s="457"/>
      <c r="C404" s="457"/>
      <c r="D404" s="457"/>
      <c r="E404" s="457"/>
      <c r="F404" s="457"/>
    </row>
    <row r="405" spans="2:6" ht="12.75">
      <c r="B405" s="457"/>
      <c r="C405" s="457"/>
      <c r="D405" s="457"/>
      <c r="E405" s="457"/>
      <c r="F405" s="457"/>
    </row>
    <row r="406" spans="2:6" ht="12.75">
      <c r="B406" s="457"/>
      <c r="C406" s="457"/>
      <c r="D406" s="457"/>
      <c r="E406" s="457"/>
      <c r="F406" s="457"/>
    </row>
    <row r="407" spans="2:6" ht="12.75">
      <c r="B407" s="457"/>
      <c r="C407" s="457"/>
      <c r="D407" s="457"/>
      <c r="E407" s="457"/>
      <c r="F407" s="457"/>
    </row>
    <row r="408" spans="2:6" ht="12.75">
      <c r="B408" s="457"/>
      <c r="C408" s="457"/>
      <c r="D408" s="457"/>
      <c r="E408" s="457"/>
      <c r="F408" s="457"/>
    </row>
    <row r="409" spans="2:6" ht="12.75">
      <c r="B409" s="457"/>
      <c r="C409" s="457"/>
      <c r="D409" s="457"/>
      <c r="E409" s="457"/>
      <c r="F409" s="457"/>
    </row>
    <row r="410" spans="2:6" ht="12.75">
      <c r="B410" s="457"/>
      <c r="C410" s="457"/>
      <c r="D410" s="457"/>
      <c r="E410" s="457"/>
      <c r="F410" s="457"/>
    </row>
    <row r="411" spans="2:6" ht="12.75">
      <c r="B411" s="457"/>
      <c r="C411" s="457"/>
      <c r="D411" s="457"/>
      <c r="E411" s="457"/>
      <c r="F411" s="457"/>
    </row>
    <row r="412" spans="2:6" ht="12.75">
      <c r="B412" s="457"/>
      <c r="C412" s="457"/>
      <c r="D412" s="457"/>
      <c r="E412" s="457"/>
      <c r="F412" s="457"/>
    </row>
    <row r="413" spans="2:6" ht="12.75">
      <c r="B413" s="457"/>
      <c r="C413" s="457"/>
      <c r="D413" s="457"/>
      <c r="E413" s="457"/>
      <c r="F413" s="457"/>
    </row>
    <row r="414" spans="2:6" ht="12.75">
      <c r="B414" s="457"/>
      <c r="C414" s="457"/>
      <c r="D414" s="457"/>
      <c r="E414" s="457"/>
      <c r="F414" s="457"/>
    </row>
    <row r="415" spans="2:6" ht="12.75">
      <c r="B415" s="457"/>
      <c r="C415" s="457"/>
      <c r="D415" s="457"/>
      <c r="E415" s="457"/>
      <c r="F415" s="457"/>
    </row>
    <row r="416" spans="2:6" ht="12.75">
      <c r="B416" s="457"/>
      <c r="C416" s="457"/>
      <c r="D416" s="457"/>
      <c r="E416" s="457"/>
      <c r="F416" s="457"/>
    </row>
    <row r="417" spans="2:6" ht="12.75">
      <c r="B417" s="457"/>
      <c r="C417" s="457"/>
      <c r="D417" s="457"/>
      <c r="E417" s="457"/>
      <c r="F417" s="457"/>
    </row>
    <row r="418" spans="2:6" ht="12.75">
      <c r="B418" s="457"/>
      <c r="C418" s="457"/>
      <c r="D418" s="457"/>
      <c r="E418" s="457"/>
      <c r="F418" s="457"/>
    </row>
    <row r="419" spans="2:6" ht="12.75">
      <c r="B419" s="457"/>
      <c r="C419" s="457"/>
      <c r="D419" s="457"/>
      <c r="E419" s="457"/>
      <c r="F419" s="457"/>
    </row>
    <row r="420" spans="2:6" ht="12.75">
      <c r="B420" s="457"/>
      <c r="C420" s="457"/>
      <c r="D420" s="457"/>
      <c r="E420" s="457"/>
      <c r="F420" s="457"/>
    </row>
    <row r="421" spans="2:6" ht="12.75">
      <c r="B421" s="457"/>
      <c r="C421" s="457"/>
      <c r="D421" s="457"/>
      <c r="E421" s="457"/>
      <c r="F421" s="457"/>
    </row>
    <row r="422" spans="2:6" ht="12.75">
      <c r="B422" s="457"/>
      <c r="C422" s="457"/>
      <c r="D422" s="457"/>
      <c r="E422" s="457"/>
      <c r="F422" s="457"/>
    </row>
    <row r="423" spans="2:6" ht="12.75">
      <c r="B423" s="457"/>
      <c r="C423" s="457"/>
      <c r="D423" s="457"/>
      <c r="E423" s="457"/>
      <c r="F423" s="457"/>
    </row>
    <row r="424" spans="2:6" ht="12.75">
      <c r="B424" s="457"/>
      <c r="C424" s="457"/>
      <c r="D424" s="457"/>
      <c r="E424" s="457"/>
      <c r="F424" s="457"/>
    </row>
    <row r="425" spans="2:6" ht="12.75">
      <c r="B425" s="457"/>
      <c r="C425" s="457"/>
      <c r="D425" s="457"/>
      <c r="E425" s="457"/>
      <c r="F425" s="457"/>
    </row>
    <row r="426" spans="2:6" ht="12.75">
      <c r="B426" s="457"/>
      <c r="C426" s="457"/>
      <c r="D426" s="457"/>
      <c r="E426" s="457"/>
      <c r="F426" s="457"/>
    </row>
    <row r="427" spans="2:6" ht="12.75">
      <c r="B427" s="457"/>
      <c r="C427" s="457"/>
      <c r="D427" s="457"/>
      <c r="E427" s="457"/>
      <c r="F427" s="457"/>
    </row>
    <row r="428" spans="2:6" ht="12.75">
      <c r="B428" s="457"/>
      <c r="C428" s="457"/>
      <c r="D428" s="457"/>
      <c r="E428" s="457"/>
      <c r="F428" s="457"/>
    </row>
    <row r="429" spans="2:6" ht="12.75">
      <c r="B429" s="457"/>
      <c r="C429" s="457"/>
      <c r="D429" s="457"/>
      <c r="E429" s="457"/>
      <c r="F429" s="457"/>
    </row>
    <row r="430" spans="2:6" ht="12.75">
      <c r="B430" s="457"/>
      <c r="C430" s="457"/>
      <c r="D430" s="457"/>
      <c r="E430" s="457"/>
      <c r="F430" s="457"/>
    </row>
    <row r="431" spans="2:6" ht="12.75">
      <c r="B431" s="457"/>
      <c r="C431" s="457"/>
      <c r="D431" s="457"/>
      <c r="E431" s="457"/>
      <c r="F431" s="457"/>
    </row>
    <row r="432" spans="2:6" ht="12.75">
      <c r="B432" s="457"/>
      <c r="C432" s="457"/>
      <c r="D432" s="457"/>
      <c r="E432" s="457"/>
      <c r="F432" s="457"/>
    </row>
    <row r="433" spans="2:6" ht="12.75">
      <c r="B433" s="457"/>
      <c r="C433" s="457"/>
      <c r="D433" s="457"/>
      <c r="E433" s="457"/>
      <c r="F433" s="457"/>
    </row>
    <row r="434" spans="2:6" ht="12.75">
      <c r="B434" s="457"/>
      <c r="C434" s="457"/>
      <c r="D434" s="457"/>
      <c r="E434" s="457"/>
      <c r="F434" s="457"/>
    </row>
    <row r="435" spans="2:6" ht="12.75">
      <c r="B435" s="457"/>
      <c r="C435" s="457"/>
      <c r="D435" s="457"/>
      <c r="E435" s="457"/>
      <c r="F435" s="457"/>
    </row>
    <row r="436" spans="2:6" ht="12.75">
      <c r="B436" s="457"/>
      <c r="C436" s="457"/>
      <c r="D436" s="457"/>
      <c r="E436" s="457"/>
      <c r="F436" s="457"/>
    </row>
    <row r="437" spans="2:6" ht="12.75">
      <c r="B437" s="457"/>
      <c r="C437" s="457"/>
      <c r="D437" s="457"/>
      <c r="E437" s="457"/>
      <c r="F437" s="457"/>
    </row>
    <row r="438" spans="2:6" ht="12.75">
      <c r="B438" s="457"/>
      <c r="C438" s="457"/>
      <c r="D438" s="457"/>
      <c r="E438" s="457"/>
      <c r="F438" s="457"/>
    </row>
    <row r="439" spans="2:6" ht="12.75">
      <c r="B439" s="457"/>
      <c r="C439" s="457"/>
      <c r="D439" s="457"/>
      <c r="E439" s="457"/>
      <c r="F439" s="457"/>
    </row>
    <row r="440" spans="2:6" ht="12.75">
      <c r="B440" s="457"/>
      <c r="C440" s="457"/>
      <c r="D440" s="457"/>
      <c r="E440" s="457"/>
      <c r="F440" s="457"/>
    </row>
    <row r="441" spans="2:6" ht="12.75">
      <c r="B441" s="457"/>
      <c r="C441" s="457"/>
      <c r="D441" s="457"/>
      <c r="E441" s="457"/>
      <c r="F441" s="457"/>
    </row>
    <row r="442" spans="2:6" ht="12.75">
      <c r="B442" s="457"/>
      <c r="C442" s="457"/>
      <c r="D442" s="457"/>
      <c r="E442" s="457"/>
      <c r="F442" s="457"/>
    </row>
    <row r="443" spans="2:6" ht="12.75">
      <c r="B443" s="457"/>
      <c r="C443" s="457"/>
      <c r="D443" s="457"/>
      <c r="E443" s="457"/>
      <c r="F443" s="457"/>
    </row>
    <row r="444" spans="2:6" ht="12.75">
      <c r="B444" s="457"/>
      <c r="C444" s="457"/>
      <c r="D444" s="457"/>
      <c r="E444" s="457"/>
      <c r="F444" s="457"/>
    </row>
    <row r="445" spans="2:6" ht="12.75">
      <c r="B445" s="457"/>
      <c r="C445" s="457"/>
      <c r="D445" s="457"/>
      <c r="E445" s="457"/>
      <c r="F445" s="457"/>
    </row>
    <row r="446" spans="2:6" ht="12.75">
      <c r="B446" s="457"/>
      <c r="C446" s="457"/>
      <c r="D446" s="457"/>
      <c r="E446" s="457"/>
      <c r="F446" s="457"/>
    </row>
    <row r="447" spans="2:6" ht="12.75">
      <c r="B447" s="457"/>
      <c r="C447" s="457"/>
      <c r="D447" s="457"/>
      <c r="E447" s="457"/>
      <c r="F447" s="457"/>
    </row>
    <row r="448" spans="2:6" ht="12.75">
      <c r="B448" s="457"/>
      <c r="C448" s="457"/>
      <c r="D448" s="457"/>
      <c r="E448" s="457"/>
      <c r="F448" s="457"/>
    </row>
    <row r="449" spans="2:6" ht="12.75">
      <c r="B449" s="457"/>
      <c r="C449" s="457"/>
      <c r="D449" s="457"/>
      <c r="E449" s="457"/>
      <c r="F449" s="457"/>
    </row>
    <row r="450" spans="2:6" ht="12.75">
      <c r="B450" s="457"/>
      <c r="C450" s="457"/>
      <c r="D450" s="457"/>
      <c r="E450" s="457"/>
      <c r="F450" s="457"/>
    </row>
    <row r="451" spans="2:6" ht="12.75">
      <c r="B451" s="457"/>
      <c r="C451" s="457"/>
      <c r="D451" s="457"/>
      <c r="E451" s="457"/>
      <c r="F451" s="457"/>
    </row>
    <row r="452" spans="2:6" ht="12.75">
      <c r="B452" s="457"/>
      <c r="C452" s="457"/>
      <c r="D452" s="457"/>
      <c r="E452" s="457"/>
      <c r="F452" s="457"/>
    </row>
    <row r="453" spans="2:6" ht="12.75">
      <c r="B453" s="457"/>
      <c r="C453" s="457"/>
      <c r="D453" s="457"/>
      <c r="E453" s="457"/>
      <c r="F453" s="457"/>
    </row>
    <row r="454" spans="2:6" ht="12.75">
      <c r="B454" s="457"/>
      <c r="C454" s="457"/>
      <c r="D454" s="457"/>
      <c r="E454" s="457"/>
      <c r="F454" s="457"/>
    </row>
    <row r="455" spans="2:6" ht="12.75">
      <c r="B455" s="457"/>
      <c r="C455" s="457"/>
      <c r="D455" s="457"/>
      <c r="E455" s="457"/>
      <c r="F455" s="457"/>
    </row>
    <row r="456" spans="2:6" ht="12.75">
      <c r="B456" s="457"/>
      <c r="C456" s="457"/>
      <c r="D456" s="457"/>
      <c r="E456" s="457"/>
      <c r="F456" s="457"/>
    </row>
    <row r="457" spans="2:6" ht="12.75">
      <c r="B457" s="457"/>
      <c r="C457" s="457"/>
      <c r="D457" s="457"/>
      <c r="E457" s="457"/>
      <c r="F457" s="457"/>
    </row>
    <row r="458" spans="2:6" ht="12.75">
      <c r="B458" s="457"/>
      <c r="C458" s="457"/>
      <c r="D458" s="457"/>
      <c r="E458" s="457"/>
      <c r="F458" s="457"/>
    </row>
    <row r="459" spans="2:6" ht="12.75">
      <c r="B459" s="457"/>
      <c r="C459" s="457"/>
      <c r="D459" s="457"/>
      <c r="E459" s="457"/>
      <c r="F459" s="457"/>
    </row>
    <row r="460" spans="2:6" ht="12.75">
      <c r="B460" s="457"/>
      <c r="C460" s="457"/>
      <c r="D460" s="457"/>
      <c r="E460" s="457"/>
      <c r="F460" s="457"/>
    </row>
    <row r="461" spans="2:6" ht="12.75">
      <c r="B461" s="457"/>
      <c r="C461" s="457"/>
      <c r="D461" s="457"/>
      <c r="E461" s="457"/>
      <c r="F461" s="457"/>
    </row>
    <row r="462" spans="2:6" ht="12.75">
      <c r="B462" s="457"/>
      <c r="C462" s="457"/>
      <c r="D462" s="457"/>
      <c r="E462" s="457"/>
      <c r="F462" s="457"/>
    </row>
    <row r="463" spans="2:6" ht="12.75">
      <c r="B463" s="457"/>
      <c r="C463" s="457"/>
      <c r="D463" s="457"/>
      <c r="E463" s="457"/>
      <c r="F463" s="457"/>
    </row>
    <row r="464" spans="2:6" ht="12.75">
      <c r="B464" s="457"/>
      <c r="C464" s="457"/>
      <c r="D464" s="457"/>
      <c r="E464" s="457"/>
      <c r="F464" s="457"/>
    </row>
    <row r="465" spans="2:6" ht="12.75">
      <c r="B465" s="457"/>
      <c r="C465" s="457"/>
      <c r="D465" s="457"/>
      <c r="E465" s="457"/>
      <c r="F465" s="457"/>
    </row>
    <row r="466" spans="2:6" ht="12.75">
      <c r="B466" s="457"/>
      <c r="C466" s="457"/>
      <c r="D466" s="457"/>
      <c r="E466" s="457"/>
      <c r="F466" s="457"/>
    </row>
    <row r="467" spans="2:6" ht="12.75">
      <c r="B467" s="457"/>
      <c r="C467" s="457"/>
      <c r="D467" s="457"/>
      <c r="E467" s="457"/>
      <c r="F467" s="457"/>
    </row>
    <row r="468" spans="2:6" ht="12.75">
      <c r="B468" s="457"/>
      <c r="C468" s="457"/>
      <c r="D468" s="457"/>
      <c r="E468" s="457"/>
      <c r="F468" s="457"/>
    </row>
    <row r="469" spans="2:6" ht="12.75">
      <c r="B469" s="457"/>
      <c r="C469" s="457"/>
      <c r="D469" s="457"/>
      <c r="E469" s="457"/>
      <c r="F469" s="457"/>
    </row>
    <row r="470" spans="2:6" ht="12.75">
      <c r="B470" s="457"/>
      <c r="C470" s="457"/>
      <c r="D470" s="457"/>
      <c r="E470" s="457"/>
      <c r="F470" s="457"/>
    </row>
    <row r="471" spans="2:6" ht="12.75">
      <c r="B471" s="457"/>
      <c r="C471" s="457"/>
      <c r="D471" s="457"/>
      <c r="E471" s="457"/>
      <c r="F471" s="457"/>
    </row>
    <row r="472" spans="2:6" ht="12.75">
      <c r="B472" s="457"/>
      <c r="C472" s="457"/>
      <c r="D472" s="457"/>
      <c r="E472" s="457"/>
      <c r="F472" s="457"/>
    </row>
    <row r="473" spans="2:6" ht="12.75">
      <c r="B473" s="457"/>
      <c r="C473" s="457"/>
      <c r="D473" s="457"/>
      <c r="E473" s="457"/>
      <c r="F473" s="457"/>
    </row>
    <row r="474" spans="2:6" ht="12.75">
      <c r="B474" s="457"/>
      <c r="C474" s="457"/>
      <c r="D474" s="457"/>
      <c r="E474" s="457"/>
      <c r="F474" s="457"/>
    </row>
    <row r="475" spans="2:6" ht="12.75">
      <c r="B475" s="457"/>
      <c r="C475" s="457"/>
      <c r="D475" s="457"/>
      <c r="E475" s="457"/>
      <c r="F475" s="457"/>
    </row>
    <row r="476" spans="2:6" ht="12.75">
      <c r="B476" s="457"/>
      <c r="C476" s="457"/>
      <c r="D476" s="457"/>
      <c r="E476" s="457"/>
      <c r="F476" s="457"/>
    </row>
    <row r="477" spans="2:6" ht="12.75">
      <c r="B477" s="457"/>
      <c r="C477" s="457"/>
      <c r="D477" s="457"/>
      <c r="E477" s="457"/>
      <c r="F477" s="457"/>
    </row>
    <row r="478" spans="2:6" ht="12.75">
      <c r="B478" s="457"/>
      <c r="C478" s="457"/>
      <c r="D478" s="457"/>
      <c r="E478" s="457"/>
      <c r="F478" s="457"/>
    </row>
    <row r="479" spans="2:6" ht="12.75">
      <c r="B479" s="457"/>
      <c r="C479" s="457"/>
      <c r="D479" s="457"/>
      <c r="E479" s="457"/>
      <c r="F479" s="457"/>
    </row>
    <row r="480" spans="2:6" ht="12.75">
      <c r="B480" s="457"/>
      <c r="C480" s="457"/>
      <c r="D480" s="457"/>
      <c r="E480" s="457"/>
      <c r="F480" s="457"/>
    </row>
    <row r="481" spans="2:6" ht="12.75">
      <c r="B481" s="457"/>
      <c r="C481" s="457"/>
      <c r="D481" s="457"/>
      <c r="E481" s="457"/>
      <c r="F481" s="457"/>
    </row>
    <row r="482" spans="2:6" ht="12.75">
      <c r="B482" s="457"/>
      <c r="C482" s="457"/>
      <c r="D482" s="457"/>
      <c r="E482" s="457"/>
      <c r="F482" s="457"/>
    </row>
    <row r="483" spans="2:6" ht="12.75">
      <c r="B483" s="457"/>
      <c r="C483" s="457"/>
      <c r="D483" s="457"/>
      <c r="E483" s="457"/>
      <c r="F483" s="457"/>
    </row>
    <row r="484" spans="2:6" ht="12.75">
      <c r="B484" s="457"/>
      <c r="C484" s="457"/>
      <c r="D484" s="457"/>
      <c r="E484" s="457"/>
      <c r="F484" s="457"/>
    </row>
    <row r="485" spans="2:6" ht="12.75">
      <c r="B485" s="457"/>
      <c r="C485" s="457"/>
      <c r="D485" s="457"/>
      <c r="E485" s="457"/>
      <c r="F485" s="457"/>
    </row>
    <row r="486" spans="2:6" ht="12.75">
      <c r="B486" s="457"/>
      <c r="C486" s="457"/>
      <c r="D486" s="457"/>
      <c r="E486" s="457"/>
      <c r="F486" s="457"/>
    </row>
    <row r="487" spans="2:6" ht="12.75">
      <c r="B487" s="457"/>
      <c r="C487" s="457"/>
      <c r="D487" s="457"/>
      <c r="E487" s="457"/>
      <c r="F487" s="457"/>
    </row>
    <row r="488" spans="2:6" ht="12.75">
      <c r="B488" s="457"/>
      <c r="C488" s="457"/>
      <c r="D488" s="457"/>
      <c r="E488" s="457"/>
      <c r="F488" s="457"/>
    </row>
    <row r="489" spans="2:6" ht="12.75">
      <c r="B489" s="457"/>
      <c r="C489" s="457"/>
      <c r="D489" s="457"/>
      <c r="E489" s="457"/>
      <c r="F489" s="457"/>
    </row>
    <row r="490" spans="2:6" ht="12.75">
      <c r="B490" s="457"/>
      <c r="C490" s="457"/>
      <c r="D490" s="457"/>
      <c r="E490" s="457"/>
      <c r="F490" s="457"/>
    </row>
    <row r="491" spans="2:6" ht="12.75">
      <c r="B491" s="457"/>
      <c r="C491" s="457"/>
      <c r="D491" s="457"/>
      <c r="E491" s="457"/>
      <c r="F491" s="457"/>
    </row>
    <row r="492" spans="2:6" ht="12.75">
      <c r="B492" s="457"/>
      <c r="C492" s="457"/>
      <c r="D492" s="457"/>
      <c r="E492" s="457"/>
      <c r="F492" s="457"/>
    </row>
    <row r="493" spans="2:6" ht="12.75">
      <c r="B493" s="457"/>
      <c r="C493" s="457"/>
      <c r="D493" s="457"/>
      <c r="E493" s="457"/>
      <c r="F493" s="457"/>
    </row>
    <row r="494" spans="2:6" ht="12.75">
      <c r="B494" s="457"/>
      <c r="C494" s="457"/>
      <c r="D494" s="457"/>
      <c r="E494" s="457"/>
      <c r="F494" s="457"/>
    </row>
    <row r="495" spans="2:6" ht="12.75">
      <c r="B495" s="457"/>
      <c r="C495" s="457"/>
      <c r="D495" s="457"/>
      <c r="E495" s="457"/>
      <c r="F495" s="457"/>
    </row>
    <row r="496" spans="2:6" ht="12.75">
      <c r="B496" s="457"/>
      <c r="C496" s="457"/>
      <c r="D496" s="457"/>
      <c r="E496" s="457"/>
      <c r="F496" s="457"/>
    </row>
    <row r="497" spans="2:6" ht="12.75">
      <c r="B497" s="457"/>
      <c r="C497" s="457"/>
      <c r="D497" s="457"/>
      <c r="E497" s="457"/>
      <c r="F497" s="457"/>
    </row>
    <row r="498" spans="2:6" ht="12.75">
      <c r="B498" s="457"/>
      <c r="C498" s="457"/>
      <c r="D498" s="457"/>
      <c r="E498" s="457"/>
      <c r="F498" s="457"/>
    </row>
    <row r="499" spans="2:6" ht="12.75">
      <c r="B499" s="457"/>
      <c r="C499" s="457"/>
      <c r="D499" s="457"/>
      <c r="E499" s="457"/>
      <c r="F499" s="457"/>
    </row>
    <row r="500" spans="2:6" ht="12.75">
      <c r="B500" s="457"/>
      <c r="C500" s="457"/>
      <c r="D500" s="457"/>
      <c r="E500" s="457"/>
      <c r="F500" s="457"/>
    </row>
    <row r="501" spans="2:6" ht="12.75">
      <c r="B501" s="457"/>
      <c r="C501" s="457"/>
      <c r="D501" s="457"/>
      <c r="E501" s="457"/>
      <c r="F501" s="457"/>
    </row>
    <row r="502" spans="2:6" ht="12.75">
      <c r="B502" s="457"/>
      <c r="C502" s="457"/>
      <c r="D502" s="457"/>
      <c r="E502" s="457"/>
      <c r="F502" s="457"/>
    </row>
    <row r="503" spans="2:6" ht="12.75">
      <c r="B503" s="457"/>
      <c r="C503" s="457"/>
      <c r="D503" s="457"/>
      <c r="E503" s="457"/>
      <c r="F503" s="457"/>
    </row>
    <row r="504" spans="2:6" ht="12.75">
      <c r="B504" s="457"/>
      <c r="C504" s="457"/>
      <c r="D504" s="457"/>
      <c r="E504" s="457"/>
      <c r="F504" s="457"/>
    </row>
    <row r="505" spans="2:6" ht="12.75">
      <c r="B505" s="457"/>
      <c r="C505" s="457"/>
      <c r="D505" s="457"/>
      <c r="E505" s="457"/>
      <c r="F505" s="457"/>
    </row>
    <row r="506" spans="2:6" ht="12.75">
      <c r="B506" s="457"/>
      <c r="C506" s="457"/>
      <c r="D506" s="457"/>
      <c r="E506" s="457"/>
      <c r="F506" s="457"/>
    </row>
    <row r="507" spans="2:6" ht="12.75">
      <c r="B507" s="457"/>
      <c r="C507" s="457"/>
      <c r="D507" s="457"/>
      <c r="E507" s="457"/>
      <c r="F507" s="457"/>
    </row>
    <row r="508" spans="2:6" ht="12.75">
      <c r="B508" s="457"/>
      <c r="C508" s="457"/>
      <c r="D508" s="457"/>
      <c r="E508" s="457"/>
      <c r="F508" s="457"/>
    </row>
    <row r="509" spans="2:6" ht="12.75">
      <c r="B509" s="457"/>
      <c r="C509" s="457"/>
      <c r="D509" s="457"/>
      <c r="E509" s="457"/>
      <c r="F509" s="457"/>
    </row>
    <row r="510" spans="2:6" ht="12.75">
      <c r="B510" s="457"/>
      <c r="C510" s="457"/>
      <c r="D510" s="457"/>
      <c r="E510" s="457"/>
      <c r="F510" s="457"/>
    </row>
    <row r="511" spans="2:6" ht="12.75">
      <c r="B511" s="457"/>
      <c r="C511" s="457"/>
      <c r="D511" s="457"/>
      <c r="E511" s="457"/>
      <c r="F511" s="457"/>
    </row>
    <row r="512" spans="2:6" ht="12.75">
      <c r="B512" s="457"/>
      <c r="C512" s="457"/>
      <c r="D512" s="457"/>
      <c r="E512" s="457"/>
      <c r="F512" s="457"/>
    </row>
    <row r="513" spans="2:6" ht="12.75">
      <c r="B513" s="457"/>
      <c r="C513" s="457"/>
      <c r="D513" s="457"/>
      <c r="E513" s="457"/>
      <c r="F513" s="457"/>
    </row>
    <row r="514" spans="2:6" ht="12.75">
      <c r="B514" s="457"/>
      <c r="C514" s="457"/>
      <c r="D514" s="457"/>
      <c r="E514" s="457"/>
      <c r="F514" s="457"/>
    </row>
    <row r="515" spans="2:6" ht="12.75">
      <c r="B515" s="457"/>
      <c r="C515" s="457"/>
      <c r="D515" s="457"/>
      <c r="E515" s="457"/>
      <c r="F515" s="457"/>
    </row>
    <row r="516" spans="2:6" ht="12.75">
      <c r="B516" s="457"/>
      <c r="C516" s="457"/>
      <c r="D516" s="457"/>
      <c r="E516" s="457"/>
      <c r="F516" s="457"/>
    </row>
    <row r="517" spans="2:6" ht="12.75">
      <c r="B517" s="457"/>
      <c r="C517" s="457"/>
      <c r="D517" s="457"/>
      <c r="E517" s="457"/>
      <c r="F517" s="457"/>
    </row>
    <row r="518" spans="2:6" ht="12.75">
      <c r="B518" s="457"/>
      <c r="C518" s="457"/>
      <c r="D518" s="457"/>
      <c r="E518" s="457"/>
      <c r="F518" s="457"/>
    </row>
    <row r="519" spans="2:6" ht="12.75">
      <c r="B519" s="457"/>
      <c r="C519" s="457"/>
      <c r="D519" s="457"/>
      <c r="E519" s="457"/>
      <c r="F519" s="457"/>
    </row>
    <row r="520" spans="2:6" ht="12.75">
      <c r="B520" s="457"/>
      <c r="C520" s="457"/>
      <c r="D520" s="457"/>
      <c r="E520" s="457"/>
      <c r="F520" s="457"/>
    </row>
    <row r="521" spans="2:6" ht="12.75">
      <c r="B521" s="457"/>
      <c r="C521" s="457"/>
      <c r="D521" s="457"/>
      <c r="E521" s="457"/>
      <c r="F521" s="457"/>
    </row>
    <row r="522" spans="2:6" ht="12.75">
      <c r="B522" s="457"/>
      <c r="C522" s="457"/>
      <c r="D522" s="457"/>
      <c r="E522" s="457"/>
      <c r="F522" s="457"/>
    </row>
    <row r="523" spans="2:6" ht="12.75">
      <c r="B523" s="457"/>
      <c r="C523" s="457"/>
      <c r="D523" s="457"/>
      <c r="E523" s="457"/>
      <c r="F523" s="457"/>
    </row>
    <row r="524" spans="2:6" ht="12.75">
      <c r="B524" s="457"/>
      <c r="C524" s="457"/>
      <c r="D524" s="457"/>
      <c r="E524" s="457"/>
      <c r="F524" s="457"/>
    </row>
    <row r="525" spans="2:6" ht="12.75">
      <c r="B525" s="457"/>
      <c r="C525" s="457"/>
      <c r="D525" s="457"/>
      <c r="E525" s="457"/>
      <c r="F525" s="457"/>
    </row>
    <row r="526" spans="2:6" ht="12.75">
      <c r="B526" s="457"/>
      <c r="C526" s="457"/>
      <c r="D526" s="457"/>
      <c r="E526" s="457"/>
      <c r="F526" s="457"/>
    </row>
    <row r="527" spans="2:6" ht="12.75">
      <c r="B527" s="457"/>
      <c r="C527" s="457"/>
      <c r="D527" s="457"/>
      <c r="E527" s="457"/>
      <c r="F527" s="457"/>
    </row>
    <row r="528" spans="2:6" ht="12.75">
      <c r="B528" s="457"/>
      <c r="C528" s="457"/>
      <c r="D528" s="457"/>
      <c r="E528" s="457"/>
      <c r="F528" s="457"/>
    </row>
    <row r="529" spans="2:6" ht="12.75">
      <c r="B529" s="457"/>
      <c r="C529" s="457"/>
      <c r="D529" s="457"/>
      <c r="E529" s="457"/>
      <c r="F529" s="457"/>
    </row>
    <row r="530" spans="2:6" ht="12.75">
      <c r="B530" s="457"/>
      <c r="C530" s="457"/>
      <c r="D530" s="457"/>
      <c r="E530" s="457"/>
      <c r="F530" s="457"/>
    </row>
    <row r="531" spans="2:6" ht="12.75">
      <c r="B531" s="457"/>
      <c r="C531" s="457"/>
      <c r="D531" s="457"/>
      <c r="E531" s="457"/>
      <c r="F531" s="457"/>
    </row>
    <row r="532" spans="2:6" ht="12.75">
      <c r="B532" s="457"/>
      <c r="C532" s="457"/>
      <c r="D532" s="457"/>
      <c r="E532" s="457"/>
      <c r="F532" s="457"/>
    </row>
    <row r="533" spans="2:6" ht="12.75">
      <c r="B533" s="457"/>
      <c r="C533" s="457"/>
      <c r="D533" s="457"/>
      <c r="E533" s="457"/>
      <c r="F533" s="457"/>
    </row>
    <row r="534" spans="2:6" ht="12.75">
      <c r="B534" s="457"/>
      <c r="C534" s="457"/>
      <c r="D534" s="457"/>
      <c r="E534" s="457"/>
      <c r="F534" s="457"/>
    </row>
    <row r="535" spans="2:6" ht="12.75">
      <c r="B535" s="457"/>
      <c r="C535" s="457"/>
      <c r="D535" s="457"/>
      <c r="E535" s="457"/>
      <c r="F535" s="457"/>
    </row>
    <row r="536" spans="2:6" ht="12.75">
      <c r="B536" s="457"/>
      <c r="C536" s="457"/>
      <c r="D536" s="457"/>
      <c r="E536" s="457"/>
      <c r="F536" s="457"/>
    </row>
    <row r="537" spans="2:6" ht="12.75">
      <c r="B537" s="457"/>
      <c r="C537" s="457"/>
      <c r="D537" s="457"/>
      <c r="E537" s="457"/>
      <c r="F537" s="457"/>
    </row>
    <row r="538" spans="2:6" ht="12.75">
      <c r="B538" s="457"/>
      <c r="C538" s="457"/>
      <c r="D538" s="457"/>
      <c r="E538" s="457"/>
      <c r="F538" s="457"/>
    </row>
    <row r="539" spans="2:6" ht="12.75">
      <c r="B539" s="457"/>
      <c r="C539" s="457"/>
      <c r="D539" s="457"/>
      <c r="E539" s="457"/>
      <c r="F539" s="457"/>
    </row>
    <row r="540" spans="2:6" ht="12.75">
      <c r="B540" s="457"/>
      <c r="C540" s="457"/>
      <c r="D540" s="457"/>
      <c r="E540" s="457"/>
      <c r="F540" s="457"/>
    </row>
    <row r="541" spans="2:6" ht="12.75">
      <c r="B541" s="457"/>
      <c r="C541" s="457"/>
      <c r="D541" s="457"/>
      <c r="E541" s="457"/>
      <c r="F541" s="457"/>
    </row>
    <row r="542" spans="2:6" ht="12.75">
      <c r="B542" s="457"/>
      <c r="C542" s="457"/>
      <c r="D542" s="457"/>
      <c r="E542" s="457"/>
      <c r="F542" s="457"/>
    </row>
    <row r="543" spans="2:6" ht="12.75">
      <c r="B543" s="457"/>
      <c r="C543" s="457"/>
      <c r="D543" s="457"/>
      <c r="E543" s="457"/>
      <c r="F543" s="457"/>
    </row>
    <row r="544" spans="2:6" ht="12.75">
      <c r="B544" s="457"/>
      <c r="C544" s="457"/>
      <c r="D544" s="457"/>
      <c r="E544" s="457"/>
      <c r="F544" s="457"/>
    </row>
    <row r="545" spans="2:6" ht="12.75">
      <c r="B545" s="457"/>
      <c r="C545" s="457"/>
      <c r="D545" s="457"/>
      <c r="E545" s="457"/>
      <c r="F545" s="457"/>
    </row>
    <row r="546" spans="2:6" ht="12.75">
      <c r="B546" s="457"/>
      <c r="C546" s="457"/>
      <c r="D546" s="457"/>
      <c r="E546" s="457"/>
      <c r="F546" s="457"/>
    </row>
    <row r="547" spans="2:6" ht="12.75">
      <c r="B547" s="457"/>
      <c r="C547" s="457"/>
      <c r="D547" s="457"/>
      <c r="E547" s="457"/>
      <c r="F547" s="457"/>
    </row>
    <row r="548" spans="2:6" ht="12.75">
      <c r="B548" s="457"/>
      <c r="C548" s="457"/>
      <c r="D548" s="457"/>
      <c r="E548" s="457"/>
      <c r="F548" s="457"/>
    </row>
    <row r="549" spans="2:6" ht="12.75">
      <c r="B549" s="457"/>
      <c r="C549" s="457"/>
      <c r="D549" s="457"/>
      <c r="E549" s="457"/>
      <c r="F549" s="457"/>
    </row>
    <row r="550" spans="2:6" ht="12.75">
      <c r="B550" s="457"/>
      <c r="C550" s="457"/>
      <c r="D550" s="457"/>
      <c r="E550" s="457"/>
      <c r="F550" s="457"/>
    </row>
    <row r="551" spans="2:6" ht="12.75">
      <c r="B551" s="457"/>
      <c r="C551" s="457"/>
      <c r="D551" s="457"/>
      <c r="E551" s="457"/>
      <c r="F551" s="457"/>
    </row>
    <row r="552" spans="2:6" ht="12.75">
      <c r="B552" s="457"/>
      <c r="C552" s="457"/>
      <c r="D552" s="457"/>
      <c r="E552" s="457"/>
      <c r="F552" s="457"/>
    </row>
    <row r="553" spans="2:6" ht="12.75">
      <c r="B553" s="457"/>
      <c r="C553" s="457"/>
      <c r="D553" s="457"/>
      <c r="E553" s="457"/>
      <c r="F553" s="457"/>
    </row>
    <row r="554" spans="2:6" ht="12.75">
      <c r="B554" s="457"/>
      <c r="C554" s="457"/>
      <c r="D554" s="457"/>
      <c r="E554" s="457"/>
      <c r="F554" s="457"/>
    </row>
    <row r="555" spans="2:6" ht="12.75">
      <c r="B555" s="457"/>
      <c r="C555" s="457"/>
      <c r="D555" s="457"/>
      <c r="E555" s="457"/>
      <c r="F555" s="457"/>
    </row>
    <row r="556" spans="2:6" ht="12.75">
      <c r="B556" s="457"/>
      <c r="C556" s="457"/>
      <c r="D556" s="457"/>
      <c r="E556" s="457"/>
      <c r="F556" s="457"/>
    </row>
    <row r="557" spans="2:6" ht="12.75">
      <c r="B557" s="457"/>
      <c r="C557" s="457"/>
      <c r="D557" s="457"/>
      <c r="E557" s="457"/>
      <c r="F557" s="457"/>
    </row>
    <row r="558" spans="2:6" ht="12.75">
      <c r="B558" s="457"/>
      <c r="C558" s="457"/>
      <c r="D558" s="457"/>
      <c r="E558" s="457"/>
      <c r="F558" s="457"/>
    </row>
    <row r="559" spans="2:6" ht="12.75">
      <c r="B559" s="457"/>
      <c r="C559" s="457"/>
      <c r="D559" s="457"/>
      <c r="E559" s="457"/>
      <c r="F559" s="457"/>
    </row>
    <row r="560" spans="2:6" ht="12.75">
      <c r="B560" s="457"/>
      <c r="C560" s="457"/>
      <c r="D560" s="457"/>
      <c r="E560" s="457"/>
      <c r="F560" s="457"/>
    </row>
    <row r="561" spans="2:6" ht="12.75">
      <c r="B561" s="457"/>
      <c r="C561" s="457"/>
      <c r="D561" s="457"/>
      <c r="E561" s="457"/>
      <c r="F561" s="457"/>
    </row>
    <row r="562" spans="2:6" ht="12.75">
      <c r="B562" s="457"/>
      <c r="C562" s="457"/>
      <c r="D562" s="457"/>
      <c r="E562" s="457"/>
      <c r="F562" s="457"/>
    </row>
    <row r="563" spans="2:6" ht="12.75">
      <c r="B563" s="457"/>
      <c r="C563" s="457"/>
      <c r="D563" s="457"/>
      <c r="E563" s="457"/>
      <c r="F563" s="457"/>
    </row>
    <row r="564" spans="2:6" ht="12.75">
      <c r="B564" s="457"/>
      <c r="C564" s="457"/>
      <c r="D564" s="457"/>
      <c r="E564" s="457"/>
      <c r="F564" s="457"/>
    </row>
    <row r="565" spans="2:6" ht="12.75">
      <c r="B565" s="457"/>
      <c r="C565" s="457"/>
      <c r="D565" s="457"/>
      <c r="E565" s="457"/>
      <c r="F565" s="457"/>
    </row>
    <row r="566" spans="2:6" ht="12.75">
      <c r="B566" s="457"/>
      <c r="C566" s="457"/>
      <c r="D566" s="457"/>
      <c r="E566" s="457"/>
      <c r="F566" s="457"/>
    </row>
    <row r="567" spans="2:6" ht="12.75">
      <c r="B567" s="457"/>
      <c r="C567" s="457"/>
      <c r="D567" s="457"/>
      <c r="E567" s="457"/>
      <c r="F567" s="457"/>
    </row>
    <row r="568" spans="2:6" ht="12.75">
      <c r="B568" s="457"/>
      <c r="C568" s="457"/>
      <c r="D568" s="457"/>
      <c r="E568" s="457"/>
      <c r="F568" s="457"/>
    </row>
    <row r="569" spans="2:6" ht="12.75">
      <c r="B569" s="457"/>
      <c r="C569" s="457"/>
      <c r="D569" s="457"/>
      <c r="E569" s="457"/>
      <c r="F569" s="457"/>
    </row>
    <row r="570" spans="2:6" ht="12.75">
      <c r="B570" s="457"/>
      <c r="C570" s="457"/>
      <c r="D570" s="457"/>
      <c r="E570" s="457"/>
      <c r="F570" s="457"/>
    </row>
    <row r="571" spans="2:6" ht="12.75">
      <c r="B571" s="457"/>
      <c r="C571" s="457"/>
      <c r="D571" s="457"/>
      <c r="E571" s="457"/>
      <c r="F571" s="457"/>
    </row>
    <row r="572" spans="2:6" ht="12.75">
      <c r="B572" s="457"/>
      <c r="C572" s="457"/>
      <c r="D572" s="457"/>
      <c r="E572" s="457"/>
      <c r="F572" s="457"/>
    </row>
    <row r="573" spans="2:6" ht="12.75">
      <c r="B573" s="457"/>
      <c r="C573" s="457"/>
      <c r="D573" s="457"/>
      <c r="E573" s="457"/>
      <c r="F573" s="457"/>
    </row>
    <row r="574" spans="2:6" ht="12.75">
      <c r="B574" s="457"/>
      <c r="C574" s="457"/>
      <c r="D574" s="457"/>
      <c r="E574" s="457"/>
      <c r="F574" s="457"/>
    </row>
    <row r="575" spans="2:6" ht="12.75">
      <c r="B575" s="457"/>
      <c r="C575" s="457"/>
      <c r="D575" s="457"/>
      <c r="E575" s="457"/>
      <c r="F575" s="457"/>
    </row>
    <row r="576" spans="2:6" ht="12.75">
      <c r="B576" s="457"/>
      <c r="C576" s="457"/>
      <c r="D576" s="457"/>
      <c r="E576" s="457"/>
      <c r="F576" s="457"/>
    </row>
    <row r="577" spans="2:6" ht="12.75">
      <c r="B577" s="457"/>
      <c r="C577" s="457"/>
      <c r="D577" s="457"/>
      <c r="E577" s="457"/>
      <c r="F577" s="457"/>
    </row>
    <row r="578" spans="2:6" ht="12.75">
      <c r="B578" s="457"/>
      <c r="C578" s="457"/>
      <c r="D578" s="457"/>
      <c r="E578" s="457"/>
      <c r="F578" s="457"/>
    </row>
    <row r="579" spans="2:6" ht="12.75">
      <c r="B579" s="457"/>
      <c r="C579" s="457"/>
      <c r="D579" s="457"/>
      <c r="E579" s="457"/>
      <c r="F579" s="457"/>
    </row>
    <row r="580" spans="2:6" ht="12.75">
      <c r="B580" s="457"/>
      <c r="C580" s="457"/>
      <c r="D580" s="457"/>
      <c r="E580" s="457"/>
      <c r="F580" s="457"/>
    </row>
    <row r="581" spans="2:6" ht="12.75">
      <c r="B581" s="457"/>
      <c r="C581" s="457"/>
      <c r="D581" s="457"/>
      <c r="E581" s="457"/>
      <c r="F581" s="457"/>
    </row>
    <row r="582" spans="2:6" ht="12.75">
      <c r="B582" s="457"/>
      <c r="C582" s="457"/>
      <c r="D582" s="457"/>
      <c r="E582" s="457"/>
      <c r="F582" s="457"/>
    </row>
    <row r="583" spans="2:6" ht="12.75">
      <c r="B583" s="457"/>
      <c r="C583" s="457"/>
      <c r="D583" s="457"/>
      <c r="E583" s="457"/>
      <c r="F583" s="457"/>
    </row>
    <row r="584" spans="2:6" ht="12.75">
      <c r="B584" s="457"/>
      <c r="C584" s="457"/>
      <c r="D584" s="457"/>
      <c r="E584" s="457"/>
      <c r="F584" s="457"/>
    </row>
    <row r="585" spans="2:6" ht="12.75">
      <c r="B585" s="457"/>
      <c r="C585" s="457"/>
      <c r="D585" s="457"/>
      <c r="E585" s="457"/>
      <c r="F585" s="457"/>
    </row>
    <row r="586" spans="2:6" ht="12.75">
      <c r="B586" s="457"/>
      <c r="C586" s="457"/>
      <c r="D586" s="457"/>
      <c r="E586" s="457"/>
      <c r="F586" s="457"/>
    </row>
    <row r="587" spans="2:6" ht="12.75">
      <c r="B587" s="457"/>
      <c r="C587" s="457"/>
      <c r="D587" s="457"/>
      <c r="E587" s="457"/>
      <c r="F587" s="457"/>
    </row>
    <row r="588" spans="2:6" ht="12.75">
      <c r="B588" s="457"/>
      <c r="C588" s="457"/>
      <c r="D588" s="457"/>
      <c r="E588" s="457"/>
      <c r="F588" s="457"/>
    </row>
    <row r="589" spans="2:6" ht="12.75">
      <c r="B589" s="457"/>
      <c r="C589" s="457"/>
      <c r="D589" s="457"/>
      <c r="E589" s="457"/>
      <c r="F589" s="457"/>
    </row>
    <row r="590" spans="2:6" ht="12.75">
      <c r="B590" s="457"/>
      <c r="C590" s="457"/>
      <c r="D590" s="457"/>
      <c r="E590" s="457"/>
      <c r="F590" s="457"/>
    </row>
    <row r="591" spans="2:6" ht="12.75">
      <c r="B591" s="457"/>
      <c r="C591" s="457"/>
      <c r="D591" s="457"/>
      <c r="E591" s="457"/>
      <c r="F591" s="457"/>
    </row>
    <row r="592" spans="2:6" ht="12.75">
      <c r="B592" s="457"/>
      <c r="C592" s="457"/>
      <c r="D592" s="457"/>
      <c r="E592" s="457"/>
      <c r="F592" s="457"/>
    </row>
    <row r="593" spans="2:6" ht="12.75">
      <c r="B593" s="457"/>
      <c r="C593" s="457"/>
      <c r="D593" s="457"/>
      <c r="E593" s="457"/>
      <c r="F593" s="457"/>
    </row>
    <row r="594" spans="2:6" ht="12.75">
      <c r="B594" s="457"/>
      <c r="C594" s="457"/>
      <c r="D594" s="457"/>
      <c r="E594" s="457"/>
      <c r="F594" s="457"/>
    </row>
    <row r="595" spans="2:6" ht="12.75">
      <c r="B595" s="457"/>
      <c r="C595" s="457"/>
      <c r="D595" s="457"/>
      <c r="E595" s="457"/>
      <c r="F595" s="457"/>
    </row>
    <row r="596" spans="2:6" ht="12.75">
      <c r="B596" s="457"/>
      <c r="C596" s="457"/>
      <c r="D596" s="457"/>
      <c r="E596" s="457"/>
      <c r="F596" s="457"/>
    </row>
  </sheetData>
  <sheetProtection/>
  <printOptions horizontalCentered="1"/>
  <pageMargins left="0.3937007874015748" right="0.3937007874015748" top="0.7874015748031497" bottom="0.7874015748031497" header="0.5118110236220472" footer="0.5118110236220472"/>
  <pageSetup fitToHeight="1" fitToWidth="1" horizontalDpi="600" verticalDpi="600" orientation="portrait" paperSize="9" scale="43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30"/>
  <sheetViews>
    <sheetView zoomScale="75" zoomScaleNormal="75" zoomScalePageLayoutView="0" workbookViewId="0" topLeftCell="A1">
      <selection activeCell="A64" sqref="A64"/>
    </sheetView>
  </sheetViews>
  <sheetFormatPr defaultColWidth="9.140625" defaultRowHeight="12.75"/>
  <cols>
    <col min="1" max="1" width="15.8515625" style="325" customWidth="1"/>
    <col min="2" max="3" width="10.57421875" style="325" customWidth="1"/>
    <col min="4" max="4" width="9.8515625" style="325" customWidth="1"/>
    <col min="5" max="5" width="9.28125" style="325" customWidth="1"/>
    <col min="6" max="6" width="73.7109375" style="325" customWidth="1"/>
    <col min="7" max="7" width="22.7109375" style="325" customWidth="1"/>
    <col min="8" max="8" width="22.00390625" style="325" customWidth="1"/>
    <col min="9" max="9" width="22.7109375" style="325" customWidth="1"/>
    <col min="10" max="10" width="14.00390625" style="325" customWidth="1"/>
    <col min="11" max="16384" width="9.140625" style="325" customWidth="1"/>
  </cols>
  <sheetData>
    <row r="1" spans="7:10" ht="15">
      <c r="G1" s="326"/>
      <c r="H1" s="326"/>
      <c r="J1" s="326"/>
    </row>
    <row r="3" spans="1:10" ht="22.5">
      <c r="A3" s="327" t="s">
        <v>740</v>
      </c>
      <c r="B3" s="328"/>
      <c r="C3" s="328"/>
      <c r="D3" s="328"/>
      <c r="E3" s="328"/>
      <c r="F3" s="328"/>
      <c r="G3" s="328"/>
      <c r="H3" s="328"/>
      <c r="I3" s="329"/>
      <c r="J3" s="329"/>
    </row>
    <row r="4" spans="1:9" ht="24.75" customHeight="1">
      <c r="A4" s="327" t="s">
        <v>561</v>
      </c>
      <c r="B4" s="327"/>
      <c r="C4" s="327"/>
      <c r="D4" s="327"/>
      <c r="E4" s="330"/>
      <c r="F4" s="330"/>
      <c r="G4" s="329"/>
      <c r="H4" s="329"/>
      <c r="I4" s="329"/>
    </row>
    <row r="5" spans="2:10" ht="15" thickBot="1">
      <c r="B5" s="331"/>
      <c r="C5" s="331"/>
      <c r="G5" s="332"/>
      <c r="H5" s="332"/>
      <c r="I5" s="326"/>
      <c r="J5" s="333" t="s">
        <v>529</v>
      </c>
    </row>
    <row r="6" spans="1:10" ht="24" customHeight="1">
      <c r="A6" s="334" t="s">
        <v>562</v>
      </c>
      <c r="B6" s="335" t="s">
        <v>563</v>
      </c>
      <c r="C6" s="336"/>
      <c r="D6" s="336"/>
      <c r="E6" s="337"/>
      <c r="F6" s="338" t="s">
        <v>564</v>
      </c>
      <c r="G6" s="338" t="s">
        <v>565</v>
      </c>
      <c r="H6" s="338" t="s">
        <v>566</v>
      </c>
      <c r="I6" s="338" t="s">
        <v>566</v>
      </c>
      <c r="J6" s="338" t="s">
        <v>567</v>
      </c>
    </row>
    <row r="7" spans="1:10" ht="17.25" customHeight="1">
      <c r="A7" s="339" t="s">
        <v>568</v>
      </c>
      <c r="B7" s="340" t="s">
        <v>569</v>
      </c>
      <c r="C7" s="341" t="s">
        <v>570</v>
      </c>
      <c r="D7" s="342" t="s">
        <v>571</v>
      </c>
      <c r="E7" s="343" t="s">
        <v>572</v>
      </c>
      <c r="F7" s="344"/>
      <c r="G7" s="345" t="s">
        <v>573</v>
      </c>
      <c r="H7" s="345" t="s">
        <v>574</v>
      </c>
      <c r="I7" s="345" t="s">
        <v>575</v>
      </c>
      <c r="J7" s="345" t="s">
        <v>576</v>
      </c>
    </row>
    <row r="8" spans="1:10" ht="13.5">
      <c r="A8" s="346" t="s">
        <v>577</v>
      </c>
      <c r="B8" s="347" t="s">
        <v>578</v>
      </c>
      <c r="C8" s="341"/>
      <c r="D8" s="341"/>
      <c r="E8" s="348" t="s">
        <v>579</v>
      </c>
      <c r="F8" s="349"/>
      <c r="G8" s="345" t="s">
        <v>580</v>
      </c>
      <c r="H8" s="350" t="s">
        <v>581</v>
      </c>
      <c r="I8" s="350"/>
      <c r="J8" s="351" t="s">
        <v>582</v>
      </c>
    </row>
    <row r="9" spans="1:10" ht="14.25" thickBot="1">
      <c r="A9" s="346" t="s">
        <v>583</v>
      </c>
      <c r="B9" s="352"/>
      <c r="C9" s="353"/>
      <c r="D9" s="353"/>
      <c r="E9" s="354"/>
      <c r="F9" s="355"/>
      <c r="G9" s="350"/>
      <c r="H9" s="356"/>
      <c r="I9" s="357"/>
      <c r="J9" s="358"/>
    </row>
    <row r="10" spans="1:10" ht="14.25" thickBot="1">
      <c r="A10" s="359" t="s">
        <v>0</v>
      </c>
      <c r="B10" s="360" t="s">
        <v>584</v>
      </c>
      <c r="C10" s="361" t="s">
        <v>585</v>
      </c>
      <c r="D10" s="361" t="s">
        <v>586</v>
      </c>
      <c r="E10" s="362" t="s">
        <v>587</v>
      </c>
      <c r="F10" s="362" t="s">
        <v>588</v>
      </c>
      <c r="G10" s="362">
        <v>1</v>
      </c>
      <c r="H10" s="362">
        <v>2</v>
      </c>
      <c r="I10" s="362">
        <v>3</v>
      </c>
      <c r="J10" s="362">
        <v>4</v>
      </c>
    </row>
    <row r="11" spans="1:10" ht="30.75" customHeight="1">
      <c r="A11" s="363" t="s">
        <v>589</v>
      </c>
      <c r="B11" s="364" t="s">
        <v>741</v>
      </c>
      <c r="C11" s="365"/>
      <c r="D11" s="366"/>
      <c r="E11" s="367"/>
      <c r="F11" s="368" t="s">
        <v>742</v>
      </c>
      <c r="G11" s="458">
        <f>SUM(G12)</f>
        <v>3404000</v>
      </c>
      <c r="H11" s="459">
        <f>SUM(H12)</f>
        <v>146492</v>
      </c>
      <c r="I11" s="458">
        <f>SUM(I12)</f>
        <v>1227047</v>
      </c>
      <c r="J11" s="460">
        <f>SUM($I11/G11)*100</f>
        <v>36.04720916568743</v>
      </c>
    </row>
    <row r="12" spans="1:10" ht="18.75" customHeight="1">
      <c r="A12" s="371" t="s">
        <v>589</v>
      </c>
      <c r="B12" s="461"/>
      <c r="C12" s="393" t="s">
        <v>743</v>
      </c>
      <c r="D12" s="462"/>
      <c r="E12" s="463"/>
      <c r="F12" s="464" t="s">
        <v>744</v>
      </c>
      <c r="G12" s="449">
        <f>SUM(G13+G17+G19+G25+G27+G28)</f>
        <v>3404000</v>
      </c>
      <c r="H12" s="449">
        <f>SUM(H13+H17+H19+H25+H27+H28)</f>
        <v>146492</v>
      </c>
      <c r="I12" s="449">
        <f>SUM(I13+I17+I19+I25+I27+I28)</f>
        <v>1227047</v>
      </c>
      <c r="J12" s="377">
        <f>SUM($I12/G12)*100</f>
        <v>36.04720916568743</v>
      </c>
    </row>
    <row r="13" spans="1:10" ht="18.75" customHeight="1">
      <c r="A13" s="378" t="s">
        <v>589</v>
      </c>
      <c r="B13" s="465"/>
      <c r="C13" s="466"/>
      <c r="D13" s="398" t="s">
        <v>745</v>
      </c>
      <c r="E13" s="399"/>
      <c r="F13" s="467" t="s">
        <v>746</v>
      </c>
      <c r="G13" s="411">
        <f>SUM(G14:G16)</f>
        <v>915000</v>
      </c>
      <c r="H13" s="411">
        <f>SUM(H14:H16)</f>
        <v>9305</v>
      </c>
      <c r="I13" s="411">
        <f>SUM(I14:I16)</f>
        <v>17370</v>
      </c>
      <c r="J13" s="383">
        <f>SUM($I13/G13)*100</f>
        <v>1.898360655737705</v>
      </c>
    </row>
    <row r="14" spans="1:10" ht="18.75" customHeight="1">
      <c r="A14" s="378"/>
      <c r="B14" s="465"/>
      <c r="C14" s="466"/>
      <c r="D14" s="398"/>
      <c r="E14" s="468" t="s">
        <v>747</v>
      </c>
      <c r="F14" s="469" t="s">
        <v>748</v>
      </c>
      <c r="G14" s="416">
        <v>0</v>
      </c>
      <c r="H14" s="416">
        <v>0</v>
      </c>
      <c r="I14" s="416">
        <v>0</v>
      </c>
      <c r="J14" s="391">
        <v>0</v>
      </c>
    </row>
    <row r="15" spans="1:10" ht="18.75" customHeight="1">
      <c r="A15" s="384" t="s">
        <v>589</v>
      </c>
      <c r="B15" s="470"/>
      <c r="C15" s="471"/>
      <c r="D15" s="387"/>
      <c r="E15" s="472" t="s">
        <v>749</v>
      </c>
      <c r="F15" s="401" t="s">
        <v>750</v>
      </c>
      <c r="G15" s="416">
        <v>915000</v>
      </c>
      <c r="H15" s="416">
        <v>9305</v>
      </c>
      <c r="I15" s="416">
        <v>17370</v>
      </c>
      <c r="J15" s="391">
        <f>SUM($I15/G15)*100</f>
        <v>1.898360655737705</v>
      </c>
    </row>
    <row r="16" spans="1:10" ht="18.75" customHeight="1">
      <c r="A16" s="384" t="s">
        <v>589</v>
      </c>
      <c r="B16" s="470"/>
      <c r="C16" s="471"/>
      <c r="D16" s="387"/>
      <c r="E16" s="472" t="s">
        <v>751</v>
      </c>
      <c r="F16" s="401" t="s">
        <v>752</v>
      </c>
      <c r="G16" s="416">
        <v>0</v>
      </c>
      <c r="H16" s="416">
        <v>0</v>
      </c>
      <c r="I16" s="416">
        <v>0</v>
      </c>
      <c r="J16" s="391">
        <v>0</v>
      </c>
    </row>
    <row r="17" spans="1:10" ht="18.75" customHeight="1">
      <c r="A17" s="378" t="s">
        <v>589</v>
      </c>
      <c r="B17" s="465"/>
      <c r="C17" s="466"/>
      <c r="D17" s="398" t="s">
        <v>753</v>
      </c>
      <c r="E17" s="399"/>
      <c r="F17" s="404" t="s">
        <v>754</v>
      </c>
      <c r="G17" s="411">
        <f>SUM(G18)</f>
        <v>0</v>
      </c>
      <c r="H17" s="411">
        <f>SUM(H18)</f>
        <v>0</v>
      </c>
      <c r="I17" s="411">
        <f>SUM(I18)</f>
        <v>0</v>
      </c>
      <c r="J17" s="383">
        <v>0</v>
      </c>
    </row>
    <row r="18" spans="1:10" ht="18.75" customHeight="1">
      <c r="A18" s="384" t="s">
        <v>589</v>
      </c>
      <c r="B18" s="470"/>
      <c r="C18" s="471"/>
      <c r="D18" s="387"/>
      <c r="E18" s="472" t="s">
        <v>755</v>
      </c>
      <c r="F18" s="401" t="s">
        <v>678</v>
      </c>
      <c r="G18" s="416">
        <v>0</v>
      </c>
      <c r="H18" s="416">
        <v>0</v>
      </c>
      <c r="I18" s="416">
        <v>0</v>
      </c>
      <c r="J18" s="391">
        <v>0</v>
      </c>
    </row>
    <row r="19" spans="1:10" ht="18.75" customHeight="1">
      <c r="A19" s="378" t="s">
        <v>589</v>
      </c>
      <c r="B19" s="465"/>
      <c r="C19" s="466"/>
      <c r="D19" s="398" t="s">
        <v>756</v>
      </c>
      <c r="E19" s="399"/>
      <c r="F19" s="400" t="s">
        <v>757</v>
      </c>
      <c r="G19" s="411">
        <f>SUM(G20:G24)</f>
        <v>1507100</v>
      </c>
      <c r="H19" s="411">
        <f>SUM(H20:H24)</f>
        <v>33488</v>
      </c>
      <c r="I19" s="411">
        <f>SUM(I20:I24)</f>
        <v>553214</v>
      </c>
      <c r="J19" s="383">
        <f aca="true" t="shared" si="0" ref="J19:J24">SUM($I19/G19)*100</f>
        <v>36.70718598633137</v>
      </c>
    </row>
    <row r="20" spans="1:10" ht="18.75" customHeight="1">
      <c r="A20" s="384" t="s">
        <v>589</v>
      </c>
      <c r="B20" s="392"/>
      <c r="C20" s="473"/>
      <c r="D20" s="387"/>
      <c r="E20" s="472" t="s">
        <v>758</v>
      </c>
      <c r="F20" s="474" t="s">
        <v>759</v>
      </c>
      <c r="G20" s="416">
        <v>106000</v>
      </c>
      <c r="H20" s="416">
        <v>0</v>
      </c>
      <c r="I20" s="416">
        <v>5944</v>
      </c>
      <c r="J20" s="391">
        <f t="shared" si="0"/>
        <v>5.607547169811321</v>
      </c>
    </row>
    <row r="21" spans="1:10" ht="18.75" customHeight="1">
      <c r="A21" s="384" t="s">
        <v>589</v>
      </c>
      <c r="B21" s="392"/>
      <c r="C21" s="473"/>
      <c r="D21" s="387"/>
      <c r="E21" s="472" t="s">
        <v>760</v>
      </c>
      <c r="F21" s="474" t="s">
        <v>675</v>
      </c>
      <c r="G21" s="416">
        <v>900000</v>
      </c>
      <c r="H21" s="416">
        <v>25498</v>
      </c>
      <c r="I21" s="416">
        <v>336511</v>
      </c>
      <c r="J21" s="391">
        <f t="shared" si="0"/>
        <v>37.39011111111111</v>
      </c>
    </row>
    <row r="22" spans="1:10" ht="18.75" customHeight="1">
      <c r="A22" s="384" t="s">
        <v>589</v>
      </c>
      <c r="B22" s="392"/>
      <c r="C22" s="473"/>
      <c r="D22" s="387"/>
      <c r="E22" s="472" t="s">
        <v>761</v>
      </c>
      <c r="F22" s="474" t="s">
        <v>676</v>
      </c>
      <c r="G22" s="416">
        <v>160000</v>
      </c>
      <c r="H22" s="416">
        <v>0</v>
      </c>
      <c r="I22" s="416">
        <v>16834</v>
      </c>
      <c r="J22" s="391">
        <f t="shared" si="0"/>
        <v>10.52125</v>
      </c>
    </row>
    <row r="23" spans="1:10" ht="18.75" customHeight="1">
      <c r="A23" s="384" t="s">
        <v>589</v>
      </c>
      <c r="B23" s="392"/>
      <c r="C23" s="473"/>
      <c r="D23" s="387"/>
      <c r="E23" s="472" t="s">
        <v>762</v>
      </c>
      <c r="F23" s="475" t="s">
        <v>677</v>
      </c>
      <c r="G23" s="416">
        <v>221100</v>
      </c>
      <c r="H23" s="416">
        <v>0</v>
      </c>
      <c r="I23" s="416">
        <v>160505</v>
      </c>
      <c r="J23" s="391">
        <f t="shared" si="0"/>
        <v>72.59384893713252</v>
      </c>
    </row>
    <row r="24" spans="1:10" ht="18.75" customHeight="1">
      <c r="A24" s="384" t="s">
        <v>589</v>
      </c>
      <c r="B24" s="392"/>
      <c r="C24" s="473"/>
      <c r="D24" s="387"/>
      <c r="E24" s="472" t="s">
        <v>763</v>
      </c>
      <c r="F24" s="475" t="s">
        <v>764</v>
      </c>
      <c r="G24" s="416">
        <v>120000</v>
      </c>
      <c r="H24" s="416">
        <v>7990</v>
      </c>
      <c r="I24" s="416">
        <v>33420</v>
      </c>
      <c r="J24" s="391">
        <f t="shared" si="0"/>
        <v>27.85</v>
      </c>
    </row>
    <row r="25" spans="1:10" ht="18.75" customHeight="1">
      <c r="A25" s="378" t="s">
        <v>589</v>
      </c>
      <c r="B25" s="465"/>
      <c r="C25" s="466"/>
      <c r="D25" s="398" t="s">
        <v>765</v>
      </c>
      <c r="E25" s="399"/>
      <c r="F25" s="404" t="s">
        <v>766</v>
      </c>
      <c r="G25" s="411">
        <f>SUM(G26)</f>
        <v>0</v>
      </c>
      <c r="H25" s="411">
        <f>SUM(H26)</f>
        <v>0</v>
      </c>
      <c r="I25" s="411">
        <f>SUM(I26)</f>
        <v>0</v>
      </c>
      <c r="J25" s="383">
        <v>0</v>
      </c>
    </row>
    <row r="26" spans="1:10" ht="18.75" customHeight="1">
      <c r="A26" s="384" t="s">
        <v>589</v>
      </c>
      <c r="B26" s="408"/>
      <c r="C26" s="476"/>
      <c r="D26" s="477"/>
      <c r="E26" s="478" t="s">
        <v>767</v>
      </c>
      <c r="F26" s="479" t="s">
        <v>768</v>
      </c>
      <c r="G26" s="416">
        <v>0</v>
      </c>
      <c r="H26" s="416">
        <v>0</v>
      </c>
      <c r="I26" s="416">
        <v>0</v>
      </c>
      <c r="J26" s="391">
        <v>0</v>
      </c>
    </row>
    <row r="27" spans="1:10" ht="18.75" customHeight="1">
      <c r="A27" s="378" t="s">
        <v>589</v>
      </c>
      <c r="B27" s="465"/>
      <c r="C27" s="466"/>
      <c r="D27" s="398" t="s">
        <v>769</v>
      </c>
      <c r="E27" s="403"/>
      <c r="F27" s="480" t="s">
        <v>770</v>
      </c>
      <c r="G27" s="411">
        <v>21350</v>
      </c>
      <c r="H27" s="411">
        <v>11826</v>
      </c>
      <c r="I27" s="411">
        <v>28679</v>
      </c>
      <c r="J27" s="383">
        <f>SUM(I27/G27)*100</f>
        <v>134.32786885245903</v>
      </c>
    </row>
    <row r="28" spans="1:10" ht="18.75" customHeight="1">
      <c r="A28" s="378" t="s">
        <v>589</v>
      </c>
      <c r="B28" s="465"/>
      <c r="C28" s="466"/>
      <c r="D28" s="398" t="s">
        <v>771</v>
      </c>
      <c r="E28" s="403"/>
      <c r="F28" s="481" t="s">
        <v>772</v>
      </c>
      <c r="G28" s="411">
        <f>SUM(G29:G31)</f>
        <v>960550</v>
      </c>
      <c r="H28" s="411">
        <f>SUM(H29:H31)</f>
        <v>91873</v>
      </c>
      <c r="I28" s="411">
        <f>SUM(I29:I31)</f>
        <v>627784</v>
      </c>
      <c r="J28" s="383">
        <f>SUM($I28/G28)*100</f>
        <v>65.35672271094685</v>
      </c>
    </row>
    <row r="29" spans="1:10" ht="18.75" customHeight="1">
      <c r="A29" s="384" t="s">
        <v>589</v>
      </c>
      <c r="B29" s="408"/>
      <c r="C29" s="476"/>
      <c r="D29" s="477"/>
      <c r="E29" s="478" t="s">
        <v>773</v>
      </c>
      <c r="F29" s="479" t="s">
        <v>774</v>
      </c>
      <c r="G29" s="416">
        <v>0</v>
      </c>
      <c r="H29" s="416">
        <v>0</v>
      </c>
      <c r="I29" s="416">
        <v>0</v>
      </c>
      <c r="J29" s="391">
        <v>0</v>
      </c>
    </row>
    <row r="30" spans="1:10" ht="18.75" customHeight="1">
      <c r="A30" s="384" t="s">
        <v>589</v>
      </c>
      <c r="B30" s="408"/>
      <c r="C30" s="476"/>
      <c r="D30" s="477"/>
      <c r="E30" s="478" t="s">
        <v>775</v>
      </c>
      <c r="F30" s="479" t="s">
        <v>776</v>
      </c>
      <c r="G30" s="416">
        <v>668550</v>
      </c>
      <c r="H30" s="416">
        <v>83271</v>
      </c>
      <c r="I30" s="416">
        <v>412245</v>
      </c>
      <c r="J30" s="391">
        <f>SUM($I30/G30)*100</f>
        <v>61.662553286964325</v>
      </c>
    </row>
    <row r="31" spans="1:10" ht="18.75" customHeight="1">
      <c r="A31" s="384" t="s">
        <v>589</v>
      </c>
      <c r="B31" s="408"/>
      <c r="C31" s="476"/>
      <c r="D31" s="477"/>
      <c r="E31" s="478" t="s">
        <v>777</v>
      </c>
      <c r="F31" s="479" t="s">
        <v>778</v>
      </c>
      <c r="G31" s="416">
        <v>292000</v>
      </c>
      <c r="H31" s="416">
        <v>8602</v>
      </c>
      <c r="I31" s="416">
        <v>215539</v>
      </c>
      <c r="J31" s="391">
        <f>SUM($I31/G31)*100</f>
        <v>73.81472602739726</v>
      </c>
    </row>
    <row r="32" spans="1:10" ht="14.25" thickBot="1">
      <c r="A32" s="450"/>
      <c r="B32" s="451"/>
      <c r="C32" s="452"/>
      <c r="D32" s="452"/>
      <c r="E32" s="453"/>
      <c r="F32" s="454"/>
      <c r="G32" s="455"/>
      <c r="H32" s="455"/>
      <c r="I32" s="455"/>
      <c r="J32" s="456"/>
    </row>
    <row r="33" spans="2:6" ht="12.75">
      <c r="B33" s="457"/>
      <c r="C33" s="457"/>
      <c r="D33" s="457"/>
      <c r="E33" s="457"/>
      <c r="F33" s="457"/>
    </row>
    <row r="34" spans="2:6" ht="12.75">
      <c r="B34" s="457"/>
      <c r="C34" s="457"/>
      <c r="D34" s="457"/>
      <c r="E34" s="457"/>
      <c r="F34" s="457"/>
    </row>
    <row r="35" spans="2:6" ht="12.75">
      <c r="B35" s="457"/>
      <c r="C35" s="457"/>
      <c r="D35" s="457"/>
      <c r="E35" s="457"/>
      <c r="F35" s="457"/>
    </row>
    <row r="36" spans="2:6" ht="12.75">
      <c r="B36" s="457"/>
      <c r="C36" s="457"/>
      <c r="D36" s="457"/>
      <c r="E36" s="457"/>
      <c r="F36" s="457"/>
    </row>
    <row r="37" spans="2:6" ht="12.75">
      <c r="B37" s="457"/>
      <c r="C37" s="457"/>
      <c r="D37" s="457"/>
      <c r="E37" s="457"/>
      <c r="F37" s="457"/>
    </row>
    <row r="38" spans="2:6" ht="12.75">
      <c r="B38" s="457"/>
      <c r="C38" s="457"/>
      <c r="D38" s="457"/>
      <c r="E38" s="457"/>
      <c r="F38" s="457"/>
    </row>
    <row r="39" spans="2:6" ht="12.75">
      <c r="B39" s="457"/>
      <c r="C39" s="457"/>
      <c r="D39" s="457"/>
      <c r="E39" s="457"/>
      <c r="F39" s="457"/>
    </row>
    <row r="40" spans="2:6" ht="12.75">
      <c r="B40" s="457"/>
      <c r="C40" s="457"/>
      <c r="D40" s="457"/>
      <c r="E40" s="457"/>
      <c r="F40" s="457"/>
    </row>
    <row r="41" spans="2:6" ht="12.75">
      <c r="B41" s="457"/>
      <c r="C41" s="457"/>
      <c r="D41" s="457"/>
      <c r="E41" s="457"/>
      <c r="F41" s="457"/>
    </row>
    <row r="42" spans="2:6" ht="12.75">
      <c r="B42" s="457"/>
      <c r="C42" s="457"/>
      <c r="D42" s="457"/>
      <c r="E42" s="457"/>
      <c r="F42" s="457"/>
    </row>
    <row r="43" spans="2:6" ht="12.75">
      <c r="B43" s="457"/>
      <c r="C43" s="457"/>
      <c r="D43" s="457"/>
      <c r="E43" s="457"/>
      <c r="F43" s="457"/>
    </row>
    <row r="44" spans="2:6" ht="12.75">
      <c r="B44" s="457"/>
      <c r="C44" s="457"/>
      <c r="D44" s="457"/>
      <c r="E44" s="457"/>
      <c r="F44" s="457"/>
    </row>
    <row r="45" spans="2:6" ht="12.75">
      <c r="B45" s="457"/>
      <c r="C45" s="457"/>
      <c r="D45" s="457"/>
      <c r="E45" s="457"/>
      <c r="F45" s="457"/>
    </row>
    <row r="46" spans="2:6" ht="12.75">
      <c r="B46" s="457"/>
      <c r="C46" s="457"/>
      <c r="D46" s="457"/>
      <c r="E46" s="457"/>
      <c r="F46" s="457"/>
    </row>
    <row r="47" spans="2:6" ht="12.75">
      <c r="B47" s="457"/>
      <c r="C47" s="457"/>
      <c r="D47" s="457"/>
      <c r="E47" s="457"/>
      <c r="F47" s="457"/>
    </row>
    <row r="48" spans="2:6" ht="12.75">
      <c r="B48" s="457"/>
      <c r="C48" s="457"/>
      <c r="D48" s="457"/>
      <c r="E48" s="457"/>
      <c r="F48" s="457"/>
    </row>
    <row r="49" spans="2:6" ht="12.75">
      <c r="B49" s="457"/>
      <c r="C49" s="457"/>
      <c r="D49" s="457"/>
      <c r="E49" s="457"/>
      <c r="F49" s="457"/>
    </row>
    <row r="50" spans="2:6" ht="12.75">
      <c r="B50" s="457"/>
      <c r="C50" s="457"/>
      <c r="D50" s="457"/>
      <c r="E50" s="457"/>
      <c r="F50" s="457"/>
    </row>
    <row r="51" spans="2:6" ht="12.75">
      <c r="B51" s="457"/>
      <c r="C51" s="457"/>
      <c r="D51" s="457"/>
      <c r="E51" s="457"/>
      <c r="F51" s="457"/>
    </row>
    <row r="52" spans="2:6" ht="12.75">
      <c r="B52" s="457"/>
      <c r="C52" s="457"/>
      <c r="D52" s="457"/>
      <c r="E52" s="457"/>
      <c r="F52" s="457"/>
    </row>
    <row r="53" spans="2:6" ht="12.75">
      <c r="B53" s="457"/>
      <c r="C53" s="457"/>
      <c r="D53" s="457"/>
      <c r="E53" s="457"/>
      <c r="F53" s="457"/>
    </row>
    <row r="54" spans="2:6" ht="12.75">
      <c r="B54" s="457"/>
      <c r="C54" s="457"/>
      <c r="D54" s="457"/>
      <c r="E54" s="457"/>
      <c r="F54" s="457"/>
    </row>
    <row r="55" spans="2:6" ht="12.75">
      <c r="B55" s="457"/>
      <c r="C55" s="457"/>
      <c r="D55" s="457"/>
      <c r="E55" s="457"/>
      <c r="F55" s="457"/>
    </row>
    <row r="56" spans="2:6" ht="12.75">
      <c r="B56" s="457"/>
      <c r="C56" s="457"/>
      <c r="D56" s="457"/>
      <c r="E56" s="457"/>
      <c r="F56" s="457"/>
    </row>
    <row r="57" spans="2:6" ht="12.75">
      <c r="B57" s="457"/>
      <c r="C57" s="457"/>
      <c r="D57" s="457"/>
      <c r="E57" s="457"/>
      <c r="F57" s="457"/>
    </row>
    <row r="58" spans="2:6" ht="12.75">
      <c r="B58" s="457"/>
      <c r="C58" s="457"/>
      <c r="D58" s="457"/>
      <c r="E58" s="457"/>
      <c r="F58" s="457"/>
    </row>
    <row r="59" spans="2:6" ht="12.75">
      <c r="B59" s="457"/>
      <c r="C59" s="457"/>
      <c r="D59" s="457"/>
      <c r="E59" s="457"/>
      <c r="F59" s="457"/>
    </row>
    <row r="60" spans="2:6" ht="12.75">
      <c r="B60" s="457"/>
      <c r="C60" s="457"/>
      <c r="D60" s="457"/>
      <c r="E60" s="457"/>
      <c r="F60" s="457"/>
    </row>
    <row r="61" spans="2:6" ht="12.75">
      <c r="B61" s="457"/>
      <c r="C61" s="457"/>
      <c r="D61" s="457"/>
      <c r="E61" s="457"/>
      <c r="F61" s="457"/>
    </row>
    <row r="62" spans="2:6" ht="12.75">
      <c r="B62" s="457"/>
      <c r="C62" s="457"/>
      <c r="D62" s="457"/>
      <c r="E62" s="457"/>
      <c r="F62" s="457"/>
    </row>
    <row r="63" spans="2:6" ht="12.75">
      <c r="B63" s="457"/>
      <c r="C63" s="457"/>
      <c r="D63" s="457"/>
      <c r="E63" s="457"/>
      <c r="F63" s="457"/>
    </row>
    <row r="64" spans="2:6" ht="12.75">
      <c r="B64" s="457"/>
      <c r="C64" s="457"/>
      <c r="D64" s="457"/>
      <c r="E64" s="457"/>
      <c r="F64" s="457"/>
    </row>
    <row r="65" spans="2:6" ht="12.75">
      <c r="B65" s="457"/>
      <c r="C65" s="457"/>
      <c r="D65" s="457"/>
      <c r="E65" s="457"/>
      <c r="F65" s="457"/>
    </row>
    <row r="66" spans="2:6" ht="12.75">
      <c r="B66" s="457"/>
      <c r="C66" s="457"/>
      <c r="D66" s="457"/>
      <c r="E66" s="457"/>
      <c r="F66" s="457"/>
    </row>
    <row r="67" spans="2:6" ht="12.75">
      <c r="B67" s="457"/>
      <c r="C67" s="457"/>
      <c r="D67" s="457"/>
      <c r="E67" s="457"/>
      <c r="F67" s="457"/>
    </row>
    <row r="68" spans="2:6" ht="12.75">
      <c r="B68" s="457"/>
      <c r="C68" s="457"/>
      <c r="D68" s="457"/>
      <c r="E68" s="457"/>
      <c r="F68" s="457"/>
    </row>
    <row r="69" spans="2:6" ht="12.75">
      <c r="B69" s="457"/>
      <c r="C69" s="457"/>
      <c r="D69" s="457"/>
      <c r="E69" s="457"/>
      <c r="F69" s="457"/>
    </row>
    <row r="70" spans="2:6" ht="12.75">
      <c r="B70" s="457"/>
      <c r="C70" s="457"/>
      <c r="D70" s="457"/>
      <c r="E70" s="457"/>
      <c r="F70" s="457"/>
    </row>
    <row r="71" spans="2:6" ht="12.75">
      <c r="B71" s="457"/>
      <c r="C71" s="457"/>
      <c r="D71" s="457"/>
      <c r="E71" s="457"/>
      <c r="F71" s="457"/>
    </row>
    <row r="72" spans="2:6" ht="12.75">
      <c r="B72" s="457"/>
      <c r="C72" s="457"/>
      <c r="D72" s="457"/>
      <c r="E72" s="457"/>
      <c r="F72" s="457"/>
    </row>
    <row r="73" spans="2:6" ht="12.75">
      <c r="B73" s="457"/>
      <c r="C73" s="457"/>
      <c r="D73" s="457"/>
      <c r="E73" s="457"/>
      <c r="F73" s="457"/>
    </row>
    <row r="74" spans="2:6" ht="12.75">
      <c r="B74" s="457"/>
      <c r="C74" s="457"/>
      <c r="D74" s="457"/>
      <c r="E74" s="457"/>
      <c r="F74" s="457"/>
    </row>
    <row r="75" spans="2:6" ht="12.75">
      <c r="B75" s="457"/>
      <c r="C75" s="457"/>
      <c r="D75" s="457"/>
      <c r="E75" s="457"/>
      <c r="F75" s="457"/>
    </row>
    <row r="76" spans="2:6" ht="12.75">
      <c r="B76" s="457"/>
      <c r="C76" s="457"/>
      <c r="D76" s="457"/>
      <c r="E76" s="457"/>
      <c r="F76" s="457"/>
    </row>
    <row r="77" spans="2:6" ht="12.75">
      <c r="B77" s="457"/>
      <c r="C77" s="457"/>
      <c r="D77" s="457"/>
      <c r="E77" s="457"/>
      <c r="F77" s="457"/>
    </row>
    <row r="78" spans="2:6" ht="12.75">
      <c r="B78" s="457"/>
      <c r="C78" s="457"/>
      <c r="D78" s="457"/>
      <c r="E78" s="457"/>
      <c r="F78" s="457"/>
    </row>
    <row r="79" spans="2:6" ht="12.75">
      <c r="B79" s="457"/>
      <c r="C79" s="457"/>
      <c r="D79" s="457"/>
      <c r="E79" s="457"/>
      <c r="F79" s="457"/>
    </row>
    <row r="80" spans="2:6" ht="12.75">
      <c r="B80" s="457"/>
      <c r="C80" s="457"/>
      <c r="D80" s="457"/>
      <c r="E80" s="457"/>
      <c r="F80" s="457"/>
    </row>
    <row r="81" spans="2:6" ht="12.75">
      <c r="B81" s="457"/>
      <c r="C81" s="457"/>
      <c r="D81" s="457"/>
      <c r="E81" s="457"/>
      <c r="F81" s="457"/>
    </row>
    <row r="82" spans="2:6" ht="12.75">
      <c r="B82" s="457"/>
      <c r="C82" s="457"/>
      <c r="D82" s="457"/>
      <c r="E82" s="457"/>
      <c r="F82" s="457"/>
    </row>
    <row r="83" spans="2:6" ht="12.75">
      <c r="B83" s="457"/>
      <c r="C83" s="457"/>
      <c r="D83" s="457"/>
      <c r="E83" s="457"/>
      <c r="F83" s="457"/>
    </row>
    <row r="84" spans="2:6" ht="12.75">
      <c r="B84" s="457"/>
      <c r="C84" s="457"/>
      <c r="D84" s="457"/>
      <c r="E84" s="457"/>
      <c r="F84" s="457"/>
    </row>
    <row r="85" spans="2:6" ht="12.75">
      <c r="B85" s="457"/>
      <c r="C85" s="457"/>
      <c r="D85" s="457"/>
      <c r="E85" s="457"/>
      <c r="F85" s="457"/>
    </row>
    <row r="86" spans="2:6" ht="12.75">
      <c r="B86" s="457"/>
      <c r="C86" s="457"/>
      <c r="D86" s="457"/>
      <c r="E86" s="457"/>
      <c r="F86" s="457"/>
    </row>
    <row r="87" spans="2:6" ht="12.75">
      <c r="B87" s="457"/>
      <c r="C87" s="457"/>
      <c r="D87" s="457"/>
      <c r="E87" s="457"/>
      <c r="F87" s="457"/>
    </row>
    <row r="88" spans="2:6" ht="12.75">
      <c r="B88" s="457"/>
      <c r="C88" s="457"/>
      <c r="D88" s="457"/>
      <c r="E88" s="457"/>
      <c r="F88" s="457"/>
    </row>
    <row r="89" spans="2:6" ht="12.75">
      <c r="B89" s="457"/>
      <c r="C89" s="457"/>
      <c r="D89" s="457"/>
      <c r="E89" s="457"/>
      <c r="F89" s="457"/>
    </row>
    <row r="90" spans="2:6" ht="12.75">
      <c r="B90" s="457"/>
      <c r="C90" s="457"/>
      <c r="D90" s="457"/>
      <c r="E90" s="457"/>
      <c r="F90" s="457"/>
    </row>
    <row r="91" spans="2:6" ht="12.75">
      <c r="B91" s="457"/>
      <c r="C91" s="457"/>
      <c r="D91" s="457"/>
      <c r="E91" s="457"/>
      <c r="F91" s="457"/>
    </row>
    <row r="92" spans="2:6" ht="12.75">
      <c r="B92" s="457"/>
      <c r="C92" s="457"/>
      <c r="D92" s="457"/>
      <c r="E92" s="457"/>
      <c r="F92" s="457"/>
    </row>
    <row r="93" spans="2:6" ht="12.75">
      <c r="B93" s="457"/>
      <c r="C93" s="457"/>
      <c r="D93" s="457"/>
      <c r="E93" s="457"/>
      <c r="F93" s="457"/>
    </row>
    <row r="94" spans="2:6" ht="12.75">
      <c r="B94" s="457"/>
      <c r="C94" s="457"/>
      <c r="D94" s="457"/>
      <c r="E94" s="457"/>
      <c r="F94" s="457"/>
    </row>
    <row r="95" spans="2:6" ht="12.75">
      <c r="B95" s="457"/>
      <c r="C95" s="457"/>
      <c r="D95" s="457"/>
      <c r="E95" s="457"/>
      <c r="F95" s="457"/>
    </row>
    <row r="96" spans="2:6" ht="12.75">
      <c r="B96" s="457"/>
      <c r="C96" s="457"/>
      <c r="D96" s="457"/>
      <c r="E96" s="457"/>
      <c r="F96" s="457"/>
    </row>
    <row r="97" spans="2:6" ht="12.75">
      <c r="B97" s="457"/>
      <c r="C97" s="457"/>
      <c r="D97" s="457"/>
      <c r="E97" s="457"/>
      <c r="F97" s="457"/>
    </row>
    <row r="98" spans="2:6" ht="12.75">
      <c r="B98" s="457"/>
      <c r="C98" s="457"/>
      <c r="D98" s="457"/>
      <c r="E98" s="457"/>
      <c r="F98" s="457"/>
    </row>
    <row r="99" spans="2:6" ht="12.75">
      <c r="B99" s="457"/>
      <c r="C99" s="457"/>
      <c r="D99" s="457"/>
      <c r="E99" s="457"/>
      <c r="F99" s="457"/>
    </row>
    <row r="100" spans="2:6" ht="12.75">
      <c r="B100" s="457"/>
      <c r="C100" s="457"/>
      <c r="D100" s="457"/>
      <c r="E100" s="457"/>
      <c r="F100" s="457"/>
    </row>
    <row r="101" spans="2:6" ht="12.75">
      <c r="B101" s="457"/>
      <c r="C101" s="457"/>
      <c r="D101" s="457"/>
      <c r="E101" s="457"/>
      <c r="F101" s="457"/>
    </row>
    <row r="102" spans="2:6" ht="12.75">
      <c r="B102" s="457"/>
      <c r="C102" s="457"/>
      <c r="D102" s="457"/>
      <c r="E102" s="457"/>
      <c r="F102" s="457"/>
    </row>
    <row r="103" spans="2:6" ht="12.75">
      <c r="B103" s="457"/>
      <c r="C103" s="457"/>
      <c r="D103" s="457"/>
      <c r="E103" s="457"/>
      <c r="F103" s="457"/>
    </row>
    <row r="104" spans="2:6" ht="12.75">
      <c r="B104" s="457"/>
      <c r="C104" s="457"/>
      <c r="D104" s="457"/>
      <c r="E104" s="457"/>
      <c r="F104" s="457"/>
    </row>
    <row r="105" spans="2:6" ht="12.75">
      <c r="B105" s="457"/>
      <c r="C105" s="457"/>
      <c r="D105" s="457"/>
      <c r="E105" s="457"/>
      <c r="F105" s="457"/>
    </row>
    <row r="106" spans="2:6" ht="12.75">
      <c r="B106" s="457"/>
      <c r="C106" s="457"/>
      <c r="D106" s="457"/>
      <c r="E106" s="457"/>
      <c r="F106" s="457"/>
    </row>
    <row r="107" spans="2:6" ht="12.75">
      <c r="B107" s="457"/>
      <c r="C107" s="457"/>
      <c r="D107" s="457"/>
      <c r="E107" s="457"/>
      <c r="F107" s="457"/>
    </row>
    <row r="108" spans="2:6" ht="12.75">
      <c r="B108" s="457"/>
      <c r="C108" s="457"/>
      <c r="D108" s="457"/>
      <c r="E108" s="457"/>
      <c r="F108" s="457"/>
    </row>
    <row r="109" spans="2:6" ht="12.75">
      <c r="B109" s="457"/>
      <c r="C109" s="457"/>
      <c r="D109" s="457"/>
      <c r="E109" s="457"/>
      <c r="F109" s="457"/>
    </row>
    <row r="110" spans="2:6" ht="12.75">
      <c r="B110" s="457"/>
      <c r="C110" s="457"/>
      <c r="D110" s="457"/>
      <c r="E110" s="457"/>
      <c r="F110" s="457"/>
    </row>
    <row r="111" spans="2:6" ht="12.75">
      <c r="B111" s="457"/>
      <c r="C111" s="457"/>
      <c r="D111" s="457"/>
      <c r="E111" s="457"/>
      <c r="F111" s="457"/>
    </row>
    <row r="112" spans="2:6" ht="12.75">
      <c r="B112" s="457"/>
      <c r="C112" s="457"/>
      <c r="D112" s="457"/>
      <c r="E112" s="457"/>
      <c r="F112" s="457"/>
    </row>
    <row r="113" spans="2:6" ht="12.75">
      <c r="B113" s="457"/>
      <c r="C113" s="457"/>
      <c r="D113" s="457"/>
      <c r="E113" s="457"/>
      <c r="F113" s="457"/>
    </row>
    <row r="114" spans="2:6" ht="12.75">
      <c r="B114" s="457"/>
      <c r="C114" s="457"/>
      <c r="D114" s="457"/>
      <c r="E114" s="457"/>
      <c r="F114" s="457"/>
    </row>
    <row r="115" spans="2:6" ht="12.75">
      <c r="B115" s="457"/>
      <c r="C115" s="457"/>
      <c r="D115" s="457"/>
      <c r="E115" s="457"/>
      <c r="F115" s="457"/>
    </row>
    <row r="116" spans="2:6" ht="12.75">
      <c r="B116" s="457"/>
      <c r="C116" s="457"/>
      <c r="D116" s="457"/>
      <c r="E116" s="457"/>
      <c r="F116" s="457"/>
    </row>
    <row r="117" spans="2:6" ht="12.75">
      <c r="B117" s="457"/>
      <c r="C117" s="457"/>
      <c r="D117" s="457"/>
      <c r="E117" s="457"/>
      <c r="F117" s="457"/>
    </row>
    <row r="118" spans="2:6" ht="12.75">
      <c r="B118" s="457"/>
      <c r="C118" s="457"/>
      <c r="D118" s="457"/>
      <c r="E118" s="457"/>
      <c r="F118" s="457"/>
    </row>
    <row r="119" spans="2:6" ht="12.75">
      <c r="B119" s="457"/>
      <c r="C119" s="457"/>
      <c r="D119" s="457"/>
      <c r="E119" s="457"/>
      <c r="F119" s="457"/>
    </row>
    <row r="120" spans="2:6" ht="12.75">
      <c r="B120" s="457"/>
      <c r="C120" s="457"/>
      <c r="D120" s="457"/>
      <c r="E120" s="457"/>
      <c r="F120" s="457"/>
    </row>
    <row r="121" spans="2:6" ht="12.75">
      <c r="B121" s="457"/>
      <c r="C121" s="457"/>
      <c r="D121" s="457"/>
      <c r="E121" s="457"/>
      <c r="F121" s="457"/>
    </row>
    <row r="122" spans="2:6" ht="12.75">
      <c r="B122" s="457"/>
      <c r="C122" s="457"/>
      <c r="D122" s="457"/>
      <c r="E122" s="457"/>
      <c r="F122" s="457"/>
    </row>
    <row r="123" spans="2:6" ht="12.75">
      <c r="B123" s="457"/>
      <c r="C123" s="457"/>
      <c r="D123" s="457"/>
      <c r="E123" s="457"/>
      <c r="F123" s="457"/>
    </row>
    <row r="124" spans="2:6" ht="12.75">
      <c r="B124" s="457"/>
      <c r="C124" s="457"/>
      <c r="D124" s="457"/>
      <c r="E124" s="457"/>
      <c r="F124" s="457"/>
    </row>
    <row r="125" spans="2:6" ht="12.75">
      <c r="B125" s="457"/>
      <c r="C125" s="457"/>
      <c r="D125" s="457"/>
      <c r="E125" s="457"/>
      <c r="F125" s="457"/>
    </row>
    <row r="126" spans="2:6" ht="12.75">
      <c r="B126" s="457"/>
      <c r="C126" s="457"/>
      <c r="D126" s="457"/>
      <c r="E126" s="457"/>
      <c r="F126" s="457"/>
    </row>
    <row r="127" spans="2:6" ht="12.75">
      <c r="B127" s="457"/>
      <c r="C127" s="457"/>
      <c r="D127" s="457"/>
      <c r="E127" s="457"/>
      <c r="F127" s="457"/>
    </row>
    <row r="128" spans="2:6" ht="12.75">
      <c r="B128" s="457"/>
      <c r="C128" s="457"/>
      <c r="D128" s="457"/>
      <c r="E128" s="457"/>
      <c r="F128" s="457"/>
    </row>
    <row r="129" spans="2:6" ht="12.75">
      <c r="B129" s="457"/>
      <c r="C129" s="457"/>
      <c r="D129" s="457"/>
      <c r="E129" s="457"/>
      <c r="F129" s="457"/>
    </row>
    <row r="130" spans="2:6" ht="12.75">
      <c r="B130" s="457"/>
      <c r="C130" s="457"/>
      <c r="D130" s="457"/>
      <c r="E130" s="457"/>
      <c r="F130" s="457"/>
    </row>
    <row r="131" spans="2:6" ht="12.75">
      <c r="B131" s="457"/>
      <c r="C131" s="457"/>
      <c r="D131" s="457"/>
      <c r="E131" s="457"/>
      <c r="F131" s="457"/>
    </row>
    <row r="132" spans="2:6" ht="12.75">
      <c r="B132" s="457"/>
      <c r="C132" s="457"/>
      <c r="D132" s="457"/>
      <c r="E132" s="457"/>
      <c r="F132" s="457"/>
    </row>
    <row r="133" spans="2:6" ht="12.75">
      <c r="B133" s="457"/>
      <c r="C133" s="457"/>
      <c r="D133" s="457"/>
      <c r="E133" s="457"/>
      <c r="F133" s="457"/>
    </row>
    <row r="134" spans="2:6" ht="12.75">
      <c r="B134" s="457"/>
      <c r="C134" s="457"/>
      <c r="D134" s="457"/>
      <c r="E134" s="457"/>
      <c r="F134" s="457"/>
    </row>
    <row r="135" spans="2:6" ht="12.75">
      <c r="B135" s="457"/>
      <c r="C135" s="457"/>
      <c r="D135" s="457"/>
      <c r="E135" s="457"/>
      <c r="F135" s="457"/>
    </row>
    <row r="136" spans="2:6" ht="12.75">
      <c r="B136" s="457"/>
      <c r="C136" s="457"/>
      <c r="D136" s="457"/>
      <c r="E136" s="457"/>
      <c r="F136" s="457"/>
    </row>
    <row r="137" spans="2:6" ht="12.75">
      <c r="B137" s="457"/>
      <c r="C137" s="457"/>
      <c r="D137" s="457"/>
      <c r="E137" s="457"/>
      <c r="F137" s="457"/>
    </row>
    <row r="138" spans="2:6" ht="12.75">
      <c r="B138" s="457"/>
      <c r="C138" s="457"/>
      <c r="D138" s="457"/>
      <c r="E138" s="457"/>
      <c r="F138" s="457"/>
    </row>
    <row r="139" spans="2:6" ht="12.75">
      <c r="B139" s="457"/>
      <c r="C139" s="457"/>
      <c r="D139" s="457"/>
      <c r="E139" s="457"/>
      <c r="F139" s="457"/>
    </row>
    <row r="140" spans="2:6" ht="12.75">
      <c r="B140" s="457"/>
      <c r="C140" s="457"/>
      <c r="D140" s="457"/>
      <c r="E140" s="457"/>
      <c r="F140" s="457"/>
    </row>
    <row r="141" spans="2:6" ht="12.75">
      <c r="B141" s="457"/>
      <c r="C141" s="457"/>
      <c r="D141" s="457"/>
      <c r="E141" s="457"/>
      <c r="F141" s="457"/>
    </row>
    <row r="142" spans="2:6" ht="12.75">
      <c r="B142" s="457"/>
      <c r="C142" s="457"/>
      <c r="D142" s="457"/>
      <c r="E142" s="457"/>
      <c r="F142" s="457"/>
    </row>
    <row r="143" spans="2:6" ht="12.75">
      <c r="B143" s="457"/>
      <c r="C143" s="457"/>
      <c r="D143" s="457"/>
      <c r="E143" s="457"/>
      <c r="F143" s="457"/>
    </row>
    <row r="144" spans="2:6" ht="12.75">
      <c r="B144" s="457"/>
      <c r="C144" s="457"/>
      <c r="D144" s="457"/>
      <c r="E144" s="457"/>
      <c r="F144" s="457"/>
    </row>
    <row r="145" spans="2:6" ht="12.75">
      <c r="B145" s="457"/>
      <c r="C145" s="457"/>
      <c r="D145" s="457"/>
      <c r="E145" s="457"/>
      <c r="F145" s="457"/>
    </row>
    <row r="146" spans="2:6" ht="12.75">
      <c r="B146" s="457"/>
      <c r="C146" s="457"/>
      <c r="D146" s="457"/>
      <c r="E146" s="457"/>
      <c r="F146" s="457"/>
    </row>
    <row r="147" spans="2:6" ht="12.75">
      <c r="B147" s="457"/>
      <c r="C147" s="457"/>
      <c r="D147" s="457"/>
      <c r="E147" s="457"/>
      <c r="F147" s="457"/>
    </row>
    <row r="148" spans="2:6" ht="12.75">
      <c r="B148" s="457"/>
      <c r="C148" s="457"/>
      <c r="D148" s="457"/>
      <c r="E148" s="457"/>
      <c r="F148" s="457"/>
    </row>
    <row r="149" spans="2:6" ht="12.75">
      <c r="B149" s="457"/>
      <c r="C149" s="457"/>
      <c r="D149" s="457"/>
      <c r="E149" s="457"/>
      <c r="F149" s="457"/>
    </row>
    <row r="150" spans="2:6" ht="12.75">
      <c r="B150" s="457"/>
      <c r="C150" s="457"/>
      <c r="D150" s="457"/>
      <c r="E150" s="457"/>
      <c r="F150" s="457"/>
    </row>
    <row r="151" spans="2:6" ht="12.75">
      <c r="B151" s="457"/>
      <c r="C151" s="457"/>
      <c r="D151" s="457"/>
      <c r="E151" s="457"/>
      <c r="F151" s="457"/>
    </row>
    <row r="152" spans="2:6" ht="12.75">
      <c r="B152" s="457"/>
      <c r="C152" s="457"/>
      <c r="D152" s="457"/>
      <c r="E152" s="457"/>
      <c r="F152" s="457"/>
    </row>
    <row r="153" spans="2:6" ht="12.75">
      <c r="B153" s="457"/>
      <c r="C153" s="457"/>
      <c r="D153" s="457"/>
      <c r="E153" s="457"/>
      <c r="F153" s="457"/>
    </row>
    <row r="154" spans="2:6" ht="12.75">
      <c r="B154" s="457"/>
      <c r="C154" s="457"/>
      <c r="D154" s="457"/>
      <c r="E154" s="457"/>
      <c r="F154" s="457"/>
    </row>
    <row r="155" spans="2:6" ht="12.75">
      <c r="B155" s="457"/>
      <c r="C155" s="457"/>
      <c r="D155" s="457"/>
      <c r="E155" s="457"/>
      <c r="F155" s="457"/>
    </row>
    <row r="156" spans="2:6" ht="12.75">
      <c r="B156" s="457"/>
      <c r="C156" s="457"/>
      <c r="D156" s="457"/>
      <c r="E156" s="457"/>
      <c r="F156" s="457"/>
    </row>
    <row r="157" spans="2:6" ht="12.75">
      <c r="B157" s="457"/>
      <c r="C157" s="457"/>
      <c r="D157" s="457"/>
      <c r="E157" s="457"/>
      <c r="F157" s="457"/>
    </row>
    <row r="158" spans="2:6" ht="12.75">
      <c r="B158" s="457"/>
      <c r="C158" s="457"/>
      <c r="D158" s="457"/>
      <c r="E158" s="457"/>
      <c r="F158" s="457"/>
    </row>
    <row r="159" spans="2:6" ht="12.75">
      <c r="B159" s="457"/>
      <c r="C159" s="457"/>
      <c r="D159" s="457"/>
      <c r="E159" s="457"/>
      <c r="F159" s="457"/>
    </row>
    <row r="160" spans="2:6" ht="12.75">
      <c r="B160" s="457"/>
      <c r="C160" s="457"/>
      <c r="D160" s="457"/>
      <c r="E160" s="457"/>
      <c r="F160" s="457"/>
    </row>
    <row r="161" spans="2:6" ht="12.75">
      <c r="B161" s="457"/>
      <c r="C161" s="457"/>
      <c r="D161" s="457"/>
      <c r="E161" s="457"/>
      <c r="F161" s="457"/>
    </row>
    <row r="162" spans="2:6" ht="12.75">
      <c r="B162" s="457"/>
      <c r="C162" s="457"/>
      <c r="D162" s="457"/>
      <c r="E162" s="457"/>
      <c r="F162" s="457"/>
    </row>
    <row r="163" spans="2:6" ht="12.75">
      <c r="B163" s="457"/>
      <c r="C163" s="457"/>
      <c r="D163" s="457"/>
      <c r="E163" s="457"/>
      <c r="F163" s="457"/>
    </row>
    <row r="164" spans="2:6" ht="12.75">
      <c r="B164" s="457"/>
      <c r="C164" s="457"/>
      <c r="D164" s="457"/>
      <c r="E164" s="457"/>
      <c r="F164" s="457"/>
    </row>
    <row r="165" spans="2:6" ht="12.75">
      <c r="B165" s="457"/>
      <c r="C165" s="457"/>
      <c r="D165" s="457"/>
      <c r="E165" s="457"/>
      <c r="F165" s="457"/>
    </row>
    <row r="166" spans="2:6" ht="12.75">
      <c r="B166" s="457"/>
      <c r="C166" s="457"/>
      <c r="D166" s="457"/>
      <c r="E166" s="457"/>
      <c r="F166" s="457"/>
    </row>
    <row r="167" spans="2:6" ht="12.75">
      <c r="B167" s="457"/>
      <c r="C167" s="457"/>
      <c r="D167" s="457"/>
      <c r="E167" s="457"/>
      <c r="F167" s="457"/>
    </row>
    <row r="168" spans="2:6" ht="12.75">
      <c r="B168" s="457"/>
      <c r="C168" s="457"/>
      <c r="D168" s="457"/>
      <c r="E168" s="457"/>
      <c r="F168" s="457"/>
    </row>
    <row r="169" spans="2:6" ht="12.75">
      <c r="B169" s="457"/>
      <c r="C169" s="457"/>
      <c r="D169" s="457"/>
      <c r="E169" s="457"/>
      <c r="F169" s="457"/>
    </row>
    <row r="170" spans="2:6" ht="12.75">
      <c r="B170" s="457"/>
      <c r="C170" s="457"/>
      <c r="D170" s="457"/>
      <c r="E170" s="457"/>
      <c r="F170" s="457"/>
    </row>
    <row r="171" spans="2:6" ht="12.75">
      <c r="B171" s="457"/>
      <c r="C171" s="457"/>
      <c r="D171" s="457"/>
      <c r="E171" s="457"/>
      <c r="F171" s="457"/>
    </row>
    <row r="172" spans="2:6" ht="12.75">
      <c r="B172" s="457"/>
      <c r="C172" s="457"/>
      <c r="D172" s="457"/>
      <c r="E172" s="457"/>
      <c r="F172" s="457"/>
    </row>
    <row r="173" spans="2:6" ht="12.75">
      <c r="B173" s="457"/>
      <c r="C173" s="457"/>
      <c r="D173" s="457"/>
      <c r="E173" s="457"/>
      <c r="F173" s="457"/>
    </row>
    <row r="174" spans="2:6" ht="12.75">
      <c r="B174" s="457"/>
      <c r="C174" s="457"/>
      <c r="D174" s="457"/>
      <c r="E174" s="457"/>
      <c r="F174" s="457"/>
    </row>
    <row r="175" spans="2:6" ht="12.75">
      <c r="B175" s="457"/>
      <c r="C175" s="457"/>
      <c r="D175" s="457"/>
      <c r="E175" s="457"/>
      <c r="F175" s="457"/>
    </row>
    <row r="176" spans="2:6" ht="12.75">
      <c r="B176" s="457"/>
      <c r="C176" s="457"/>
      <c r="D176" s="457"/>
      <c r="E176" s="457"/>
      <c r="F176" s="457"/>
    </row>
    <row r="177" spans="2:6" ht="12.75">
      <c r="B177" s="457"/>
      <c r="C177" s="457"/>
      <c r="D177" s="457"/>
      <c r="E177" s="457"/>
      <c r="F177" s="457"/>
    </row>
    <row r="178" spans="2:6" ht="12.75">
      <c r="B178" s="457"/>
      <c r="C178" s="457"/>
      <c r="D178" s="457"/>
      <c r="E178" s="457"/>
      <c r="F178" s="457"/>
    </row>
    <row r="179" spans="2:6" ht="12.75">
      <c r="B179" s="457"/>
      <c r="C179" s="457"/>
      <c r="D179" s="457"/>
      <c r="E179" s="457"/>
      <c r="F179" s="457"/>
    </row>
    <row r="180" spans="2:6" ht="12.75">
      <c r="B180" s="457"/>
      <c r="C180" s="457"/>
      <c r="D180" s="457"/>
      <c r="E180" s="457"/>
      <c r="F180" s="457"/>
    </row>
    <row r="181" spans="2:6" ht="12.75">
      <c r="B181" s="457"/>
      <c r="C181" s="457"/>
      <c r="D181" s="457"/>
      <c r="E181" s="457"/>
      <c r="F181" s="457"/>
    </row>
    <row r="182" spans="2:6" ht="12.75">
      <c r="B182" s="457"/>
      <c r="C182" s="457"/>
      <c r="D182" s="457"/>
      <c r="E182" s="457"/>
      <c r="F182" s="457"/>
    </row>
    <row r="183" spans="2:6" ht="12.75">
      <c r="B183" s="457"/>
      <c r="C183" s="457"/>
      <c r="D183" s="457"/>
      <c r="E183" s="457"/>
      <c r="F183" s="457"/>
    </row>
    <row r="184" spans="2:6" ht="12.75">
      <c r="B184" s="457"/>
      <c r="C184" s="457"/>
      <c r="D184" s="457"/>
      <c r="E184" s="457"/>
      <c r="F184" s="457"/>
    </row>
    <row r="185" spans="2:6" ht="12.75">
      <c r="B185" s="457"/>
      <c r="C185" s="457"/>
      <c r="D185" s="457"/>
      <c r="E185" s="457"/>
      <c r="F185" s="457"/>
    </row>
    <row r="186" spans="2:6" ht="12.75">
      <c r="B186" s="457"/>
      <c r="C186" s="457"/>
      <c r="D186" s="457"/>
      <c r="E186" s="457"/>
      <c r="F186" s="457"/>
    </row>
    <row r="187" spans="2:6" ht="12.75">
      <c r="B187" s="457"/>
      <c r="C187" s="457"/>
      <c r="D187" s="457"/>
      <c r="E187" s="457"/>
      <c r="F187" s="457"/>
    </row>
    <row r="188" spans="2:6" ht="12.75">
      <c r="B188" s="457"/>
      <c r="C188" s="457"/>
      <c r="D188" s="457"/>
      <c r="E188" s="457"/>
      <c r="F188" s="457"/>
    </row>
    <row r="189" spans="2:6" ht="12.75">
      <c r="B189" s="457"/>
      <c r="C189" s="457"/>
      <c r="D189" s="457"/>
      <c r="E189" s="457"/>
      <c r="F189" s="457"/>
    </row>
    <row r="190" spans="2:6" ht="12.75">
      <c r="B190" s="457"/>
      <c r="C190" s="457"/>
      <c r="D190" s="457"/>
      <c r="E190" s="457"/>
      <c r="F190" s="457"/>
    </row>
    <row r="191" spans="2:6" ht="12.75">
      <c r="B191" s="457"/>
      <c r="C191" s="457"/>
      <c r="D191" s="457"/>
      <c r="E191" s="457"/>
      <c r="F191" s="457"/>
    </row>
    <row r="192" spans="2:6" ht="12.75">
      <c r="B192" s="457"/>
      <c r="C192" s="457"/>
      <c r="D192" s="457"/>
      <c r="E192" s="457"/>
      <c r="F192" s="457"/>
    </row>
    <row r="193" spans="2:6" ht="12.75">
      <c r="B193" s="457"/>
      <c r="C193" s="457"/>
      <c r="D193" s="457"/>
      <c r="E193" s="457"/>
      <c r="F193" s="457"/>
    </row>
    <row r="194" spans="2:6" ht="12.75">
      <c r="B194" s="457"/>
      <c r="C194" s="457"/>
      <c r="D194" s="457"/>
      <c r="E194" s="457"/>
      <c r="F194" s="457"/>
    </row>
    <row r="195" spans="2:6" ht="12.75">
      <c r="B195" s="457"/>
      <c r="C195" s="457"/>
      <c r="D195" s="457"/>
      <c r="E195" s="457"/>
      <c r="F195" s="457"/>
    </row>
    <row r="196" spans="2:6" ht="12.75">
      <c r="B196" s="457"/>
      <c r="C196" s="457"/>
      <c r="D196" s="457"/>
      <c r="E196" s="457"/>
      <c r="F196" s="457"/>
    </row>
    <row r="197" spans="2:6" ht="12.75">
      <c r="B197" s="457"/>
      <c r="C197" s="457"/>
      <c r="D197" s="457"/>
      <c r="E197" s="457"/>
      <c r="F197" s="457"/>
    </row>
    <row r="198" spans="2:6" ht="12.75">
      <c r="B198" s="457"/>
      <c r="C198" s="457"/>
      <c r="D198" s="457"/>
      <c r="E198" s="457"/>
      <c r="F198" s="457"/>
    </row>
    <row r="199" spans="2:6" ht="12.75">
      <c r="B199" s="457"/>
      <c r="C199" s="457"/>
      <c r="D199" s="457"/>
      <c r="E199" s="457"/>
      <c r="F199" s="457"/>
    </row>
    <row r="200" spans="2:6" ht="12.75">
      <c r="B200" s="457"/>
      <c r="C200" s="457"/>
      <c r="D200" s="457"/>
      <c r="E200" s="457"/>
      <c r="F200" s="457"/>
    </row>
    <row r="201" spans="2:6" ht="12.75">
      <c r="B201" s="457"/>
      <c r="C201" s="457"/>
      <c r="D201" s="457"/>
      <c r="E201" s="457"/>
      <c r="F201" s="457"/>
    </row>
    <row r="202" spans="2:6" ht="12.75">
      <c r="B202" s="457"/>
      <c r="C202" s="457"/>
      <c r="D202" s="457"/>
      <c r="E202" s="457"/>
      <c r="F202" s="457"/>
    </row>
    <row r="203" spans="2:6" ht="12.75">
      <c r="B203" s="457"/>
      <c r="C203" s="457"/>
      <c r="D203" s="457"/>
      <c r="E203" s="457"/>
      <c r="F203" s="457"/>
    </row>
    <row r="204" spans="2:6" ht="12.75">
      <c r="B204" s="457"/>
      <c r="C204" s="457"/>
      <c r="D204" s="457"/>
      <c r="E204" s="457"/>
      <c r="F204" s="457"/>
    </row>
    <row r="205" spans="2:6" ht="12.75">
      <c r="B205" s="457"/>
      <c r="C205" s="457"/>
      <c r="D205" s="457"/>
      <c r="E205" s="457"/>
      <c r="F205" s="457"/>
    </row>
    <row r="206" spans="2:6" ht="12.75">
      <c r="B206" s="457"/>
      <c r="C206" s="457"/>
      <c r="D206" s="457"/>
      <c r="E206" s="457"/>
      <c r="F206" s="457"/>
    </row>
    <row r="207" spans="2:6" ht="12.75">
      <c r="B207" s="457"/>
      <c r="C207" s="457"/>
      <c r="D207" s="457"/>
      <c r="E207" s="457"/>
      <c r="F207" s="457"/>
    </row>
    <row r="208" spans="2:6" ht="12.75">
      <c r="B208" s="457"/>
      <c r="C208" s="457"/>
      <c r="D208" s="457"/>
      <c r="E208" s="457"/>
      <c r="F208" s="457"/>
    </row>
    <row r="209" spans="2:6" ht="12.75">
      <c r="B209" s="457"/>
      <c r="C209" s="457"/>
      <c r="D209" s="457"/>
      <c r="E209" s="457"/>
      <c r="F209" s="457"/>
    </row>
    <row r="210" spans="2:6" ht="12.75">
      <c r="B210" s="457"/>
      <c r="C210" s="457"/>
      <c r="D210" s="457"/>
      <c r="E210" s="457"/>
      <c r="F210" s="457"/>
    </row>
    <row r="211" spans="2:6" ht="12.75">
      <c r="B211" s="457"/>
      <c r="C211" s="457"/>
      <c r="D211" s="457"/>
      <c r="E211" s="457"/>
      <c r="F211" s="457"/>
    </row>
    <row r="212" spans="2:6" ht="12.75">
      <c r="B212" s="457"/>
      <c r="C212" s="457"/>
      <c r="D212" s="457"/>
      <c r="E212" s="457"/>
      <c r="F212" s="457"/>
    </row>
    <row r="213" spans="2:6" ht="12.75">
      <c r="B213" s="457"/>
      <c r="C213" s="457"/>
      <c r="D213" s="457"/>
      <c r="E213" s="457"/>
      <c r="F213" s="457"/>
    </row>
    <row r="214" spans="2:6" ht="12.75">
      <c r="B214" s="457"/>
      <c r="C214" s="457"/>
      <c r="D214" s="457"/>
      <c r="E214" s="457"/>
      <c r="F214" s="457"/>
    </row>
    <row r="215" spans="2:6" ht="12.75">
      <c r="B215" s="457"/>
      <c r="C215" s="457"/>
      <c r="D215" s="457"/>
      <c r="E215" s="457"/>
      <c r="F215" s="457"/>
    </row>
    <row r="216" spans="2:6" ht="12.75">
      <c r="B216" s="457"/>
      <c r="C216" s="457"/>
      <c r="D216" s="457"/>
      <c r="E216" s="457"/>
      <c r="F216" s="457"/>
    </row>
    <row r="217" spans="2:6" ht="12.75">
      <c r="B217" s="457"/>
      <c r="C217" s="457"/>
      <c r="D217" s="457"/>
      <c r="E217" s="457"/>
      <c r="F217" s="457"/>
    </row>
    <row r="218" spans="2:6" ht="12.75">
      <c r="B218" s="457"/>
      <c r="C218" s="457"/>
      <c r="D218" s="457"/>
      <c r="E218" s="457"/>
      <c r="F218" s="457"/>
    </row>
    <row r="219" spans="2:6" ht="12.75">
      <c r="B219" s="457"/>
      <c r="C219" s="457"/>
      <c r="D219" s="457"/>
      <c r="E219" s="457"/>
      <c r="F219" s="457"/>
    </row>
    <row r="220" spans="2:6" ht="12.75">
      <c r="B220" s="457"/>
      <c r="C220" s="457"/>
      <c r="D220" s="457"/>
      <c r="E220" s="457"/>
      <c r="F220" s="457"/>
    </row>
    <row r="221" spans="2:6" ht="12.75">
      <c r="B221" s="457"/>
      <c r="C221" s="457"/>
      <c r="D221" s="457"/>
      <c r="E221" s="457"/>
      <c r="F221" s="457"/>
    </row>
    <row r="222" spans="2:6" ht="12.75">
      <c r="B222" s="457"/>
      <c r="C222" s="457"/>
      <c r="D222" s="457"/>
      <c r="E222" s="457"/>
      <c r="F222" s="457"/>
    </row>
    <row r="223" spans="2:6" ht="12.75">
      <c r="B223" s="457"/>
      <c r="C223" s="457"/>
      <c r="D223" s="457"/>
      <c r="E223" s="457"/>
      <c r="F223" s="457"/>
    </row>
    <row r="224" spans="2:6" ht="12.75">
      <c r="B224" s="457"/>
      <c r="C224" s="457"/>
      <c r="D224" s="457"/>
      <c r="E224" s="457"/>
      <c r="F224" s="457"/>
    </row>
    <row r="225" spans="2:6" ht="12.75">
      <c r="B225" s="457"/>
      <c r="C225" s="457"/>
      <c r="D225" s="457"/>
      <c r="E225" s="457"/>
      <c r="F225" s="457"/>
    </row>
    <row r="226" spans="2:6" ht="12.75">
      <c r="B226" s="457"/>
      <c r="C226" s="457"/>
      <c r="D226" s="457"/>
      <c r="E226" s="457"/>
      <c r="F226" s="457"/>
    </row>
    <row r="227" spans="2:6" ht="12.75">
      <c r="B227" s="457"/>
      <c r="C227" s="457"/>
      <c r="D227" s="457"/>
      <c r="E227" s="457"/>
      <c r="F227" s="457"/>
    </row>
    <row r="228" spans="2:6" ht="12.75">
      <c r="B228" s="457"/>
      <c r="C228" s="457"/>
      <c r="D228" s="457"/>
      <c r="E228" s="457"/>
      <c r="F228" s="457"/>
    </row>
    <row r="229" spans="2:6" ht="12.75">
      <c r="B229" s="457"/>
      <c r="C229" s="457"/>
      <c r="D229" s="457"/>
      <c r="E229" s="457"/>
      <c r="F229" s="457"/>
    </row>
    <row r="230" spans="2:6" ht="12.75">
      <c r="B230" s="457"/>
      <c r="C230" s="457"/>
      <c r="D230" s="457"/>
      <c r="E230" s="457"/>
      <c r="F230" s="457"/>
    </row>
    <row r="231" spans="2:6" ht="12.75">
      <c r="B231" s="457"/>
      <c r="C231" s="457"/>
      <c r="D231" s="457"/>
      <c r="E231" s="457"/>
      <c r="F231" s="457"/>
    </row>
    <row r="232" spans="2:6" ht="12.75">
      <c r="B232" s="457"/>
      <c r="C232" s="457"/>
      <c r="D232" s="457"/>
      <c r="E232" s="457"/>
      <c r="F232" s="457"/>
    </row>
    <row r="233" spans="2:6" ht="12.75">
      <c r="B233" s="457"/>
      <c r="C233" s="457"/>
      <c r="D233" s="457"/>
      <c r="E233" s="457"/>
      <c r="F233" s="457"/>
    </row>
    <row r="234" spans="2:6" ht="12.75">
      <c r="B234" s="457"/>
      <c r="C234" s="457"/>
      <c r="D234" s="457"/>
      <c r="E234" s="457"/>
      <c r="F234" s="457"/>
    </row>
    <row r="235" spans="2:6" ht="12.75">
      <c r="B235" s="457"/>
      <c r="C235" s="457"/>
      <c r="D235" s="457"/>
      <c r="E235" s="457"/>
      <c r="F235" s="457"/>
    </row>
    <row r="236" spans="2:6" ht="12.75">
      <c r="B236" s="457"/>
      <c r="C236" s="457"/>
      <c r="D236" s="457"/>
      <c r="E236" s="457"/>
      <c r="F236" s="457"/>
    </row>
    <row r="237" spans="2:6" ht="12.75">
      <c r="B237" s="457"/>
      <c r="C237" s="457"/>
      <c r="D237" s="457"/>
      <c r="E237" s="457"/>
      <c r="F237" s="457"/>
    </row>
    <row r="238" spans="2:6" ht="12.75">
      <c r="B238" s="457"/>
      <c r="C238" s="457"/>
      <c r="D238" s="457"/>
      <c r="E238" s="457"/>
      <c r="F238" s="457"/>
    </row>
    <row r="239" spans="2:6" ht="12.75">
      <c r="B239" s="457"/>
      <c r="C239" s="457"/>
      <c r="D239" s="457"/>
      <c r="E239" s="457"/>
      <c r="F239" s="457"/>
    </row>
    <row r="240" spans="2:6" ht="12.75">
      <c r="B240" s="457"/>
      <c r="C240" s="457"/>
      <c r="D240" s="457"/>
      <c r="E240" s="457"/>
      <c r="F240" s="457"/>
    </row>
    <row r="241" spans="2:6" ht="12.75">
      <c r="B241" s="457"/>
      <c r="C241" s="457"/>
      <c r="D241" s="457"/>
      <c r="E241" s="457"/>
      <c r="F241" s="457"/>
    </row>
    <row r="242" spans="2:6" ht="12.75">
      <c r="B242" s="457"/>
      <c r="C242" s="457"/>
      <c r="D242" s="457"/>
      <c r="E242" s="457"/>
      <c r="F242" s="457"/>
    </row>
    <row r="243" spans="2:6" ht="12.75">
      <c r="B243" s="457"/>
      <c r="C243" s="457"/>
      <c r="D243" s="457"/>
      <c r="E243" s="457"/>
      <c r="F243" s="457"/>
    </row>
    <row r="244" spans="2:6" ht="12.75">
      <c r="B244" s="457"/>
      <c r="C244" s="457"/>
      <c r="D244" s="457"/>
      <c r="E244" s="457"/>
      <c r="F244" s="457"/>
    </row>
    <row r="245" spans="2:6" ht="12.75">
      <c r="B245" s="457"/>
      <c r="C245" s="457"/>
      <c r="D245" s="457"/>
      <c r="E245" s="457"/>
      <c r="F245" s="457"/>
    </row>
    <row r="246" spans="2:6" ht="12.75">
      <c r="B246" s="457"/>
      <c r="C246" s="457"/>
      <c r="D246" s="457"/>
      <c r="E246" s="457"/>
      <c r="F246" s="457"/>
    </row>
    <row r="247" spans="2:6" ht="12.75">
      <c r="B247" s="457"/>
      <c r="C247" s="457"/>
      <c r="D247" s="457"/>
      <c r="E247" s="457"/>
      <c r="F247" s="457"/>
    </row>
    <row r="248" spans="2:6" ht="12.75">
      <c r="B248" s="457"/>
      <c r="C248" s="457"/>
      <c r="D248" s="457"/>
      <c r="E248" s="457"/>
      <c r="F248" s="457"/>
    </row>
    <row r="249" spans="2:6" ht="12.75">
      <c r="B249" s="457"/>
      <c r="C249" s="457"/>
      <c r="D249" s="457"/>
      <c r="E249" s="457"/>
      <c r="F249" s="457"/>
    </row>
    <row r="250" spans="2:6" ht="12.75">
      <c r="B250" s="457"/>
      <c r="C250" s="457"/>
      <c r="D250" s="457"/>
      <c r="E250" s="457"/>
      <c r="F250" s="457"/>
    </row>
    <row r="251" spans="2:6" ht="12.75">
      <c r="B251" s="457"/>
      <c r="C251" s="457"/>
      <c r="D251" s="457"/>
      <c r="E251" s="457"/>
      <c r="F251" s="457"/>
    </row>
    <row r="252" spans="2:6" ht="12.75">
      <c r="B252" s="457"/>
      <c r="C252" s="457"/>
      <c r="D252" s="457"/>
      <c r="E252" s="457"/>
      <c r="F252" s="457"/>
    </row>
    <row r="253" spans="2:6" ht="12.75">
      <c r="B253" s="457"/>
      <c r="C253" s="457"/>
      <c r="D253" s="457"/>
      <c r="E253" s="457"/>
      <c r="F253" s="457"/>
    </row>
    <row r="254" spans="2:6" ht="12.75">
      <c r="B254" s="457"/>
      <c r="C254" s="457"/>
      <c r="D254" s="457"/>
      <c r="E254" s="457"/>
      <c r="F254" s="457"/>
    </row>
    <row r="255" spans="2:6" ht="12.75">
      <c r="B255" s="457"/>
      <c r="C255" s="457"/>
      <c r="D255" s="457"/>
      <c r="E255" s="457"/>
      <c r="F255" s="457"/>
    </row>
    <row r="256" spans="2:6" ht="12.75">
      <c r="B256" s="457"/>
      <c r="C256" s="457"/>
      <c r="D256" s="457"/>
      <c r="E256" s="457"/>
      <c r="F256" s="457"/>
    </row>
    <row r="257" spans="2:6" ht="12.75">
      <c r="B257" s="457"/>
      <c r="C257" s="457"/>
      <c r="D257" s="457"/>
      <c r="E257" s="457"/>
      <c r="F257" s="457"/>
    </row>
    <row r="258" spans="2:6" ht="12.75">
      <c r="B258" s="457"/>
      <c r="C258" s="457"/>
      <c r="D258" s="457"/>
      <c r="E258" s="457"/>
      <c r="F258" s="457"/>
    </row>
    <row r="259" spans="2:6" ht="12.75">
      <c r="B259" s="457"/>
      <c r="C259" s="457"/>
      <c r="D259" s="457"/>
      <c r="E259" s="457"/>
      <c r="F259" s="457"/>
    </row>
    <row r="260" spans="2:6" ht="12.75">
      <c r="B260" s="457"/>
      <c r="C260" s="457"/>
      <c r="D260" s="457"/>
      <c r="E260" s="457"/>
      <c r="F260" s="457"/>
    </row>
    <row r="261" spans="2:6" ht="12.75">
      <c r="B261" s="457"/>
      <c r="C261" s="457"/>
      <c r="D261" s="457"/>
      <c r="E261" s="457"/>
      <c r="F261" s="457"/>
    </row>
    <row r="262" spans="2:6" ht="12.75">
      <c r="B262" s="457"/>
      <c r="C262" s="457"/>
      <c r="D262" s="457"/>
      <c r="E262" s="457"/>
      <c r="F262" s="457"/>
    </row>
    <row r="263" spans="2:6" ht="12.75">
      <c r="B263" s="457"/>
      <c r="C263" s="457"/>
      <c r="D263" s="457"/>
      <c r="E263" s="457"/>
      <c r="F263" s="457"/>
    </row>
    <row r="264" spans="2:6" ht="12.75">
      <c r="B264" s="457"/>
      <c r="C264" s="457"/>
      <c r="D264" s="457"/>
      <c r="E264" s="457"/>
      <c r="F264" s="457"/>
    </row>
    <row r="265" spans="2:6" ht="12.75">
      <c r="B265" s="457"/>
      <c r="C265" s="457"/>
      <c r="D265" s="457"/>
      <c r="E265" s="457"/>
      <c r="F265" s="457"/>
    </row>
    <row r="266" spans="2:6" ht="12.75">
      <c r="B266" s="457"/>
      <c r="C266" s="457"/>
      <c r="D266" s="457"/>
      <c r="E266" s="457"/>
      <c r="F266" s="457"/>
    </row>
    <row r="267" spans="2:6" ht="12.75">
      <c r="B267" s="457"/>
      <c r="C267" s="457"/>
      <c r="D267" s="457"/>
      <c r="E267" s="457"/>
      <c r="F267" s="457"/>
    </row>
    <row r="268" spans="2:6" ht="12.75">
      <c r="B268" s="457"/>
      <c r="C268" s="457"/>
      <c r="D268" s="457"/>
      <c r="E268" s="457"/>
      <c r="F268" s="457"/>
    </row>
    <row r="269" spans="2:6" ht="12.75">
      <c r="B269" s="457"/>
      <c r="C269" s="457"/>
      <c r="D269" s="457"/>
      <c r="E269" s="457"/>
      <c r="F269" s="457"/>
    </row>
    <row r="270" spans="2:6" ht="12.75">
      <c r="B270" s="457"/>
      <c r="C270" s="457"/>
      <c r="D270" s="457"/>
      <c r="E270" s="457"/>
      <c r="F270" s="457"/>
    </row>
    <row r="271" spans="2:6" ht="12.75">
      <c r="B271" s="457"/>
      <c r="C271" s="457"/>
      <c r="D271" s="457"/>
      <c r="E271" s="457"/>
      <c r="F271" s="457"/>
    </row>
    <row r="272" spans="2:6" ht="12.75">
      <c r="B272" s="457"/>
      <c r="C272" s="457"/>
      <c r="D272" s="457"/>
      <c r="E272" s="457"/>
      <c r="F272" s="457"/>
    </row>
    <row r="273" spans="2:6" ht="12.75">
      <c r="B273" s="457"/>
      <c r="C273" s="457"/>
      <c r="D273" s="457"/>
      <c r="E273" s="457"/>
      <c r="F273" s="457"/>
    </row>
    <row r="274" spans="2:6" ht="12.75">
      <c r="B274" s="457"/>
      <c r="C274" s="457"/>
      <c r="D274" s="457"/>
      <c r="E274" s="457"/>
      <c r="F274" s="457"/>
    </row>
    <row r="275" spans="2:6" ht="12.75">
      <c r="B275" s="457"/>
      <c r="C275" s="457"/>
      <c r="D275" s="457"/>
      <c r="E275" s="457"/>
      <c r="F275" s="457"/>
    </row>
    <row r="276" spans="2:6" ht="12.75">
      <c r="B276" s="457"/>
      <c r="C276" s="457"/>
      <c r="D276" s="457"/>
      <c r="E276" s="457"/>
      <c r="F276" s="457"/>
    </row>
    <row r="277" spans="2:6" ht="12.75">
      <c r="B277" s="457"/>
      <c r="C277" s="457"/>
      <c r="D277" s="457"/>
      <c r="E277" s="457"/>
      <c r="F277" s="457"/>
    </row>
    <row r="278" spans="2:6" ht="12.75">
      <c r="B278" s="457"/>
      <c r="C278" s="457"/>
      <c r="D278" s="457"/>
      <c r="E278" s="457"/>
      <c r="F278" s="457"/>
    </row>
    <row r="279" spans="2:6" ht="12.75">
      <c r="B279" s="457"/>
      <c r="C279" s="457"/>
      <c r="D279" s="457"/>
      <c r="E279" s="457"/>
      <c r="F279" s="457"/>
    </row>
    <row r="280" spans="2:6" ht="12.75">
      <c r="B280" s="457"/>
      <c r="C280" s="457"/>
      <c r="D280" s="457"/>
      <c r="E280" s="457"/>
      <c r="F280" s="457"/>
    </row>
    <row r="281" spans="2:6" ht="12.75">
      <c r="B281" s="457"/>
      <c r="C281" s="457"/>
      <c r="D281" s="457"/>
      <c r="E281" s="457"/>
      <c r="F281" s="457"/>
    </row>
    <row r="282" spans="2:6" ht="12.75">
      <c r="B282" s="457"/>
      <c r="C282" s="457"/>
      <c r="D282" s="457"/>
      <c r="E282" s="457"/>
      <c r="F282" s="457"/>
    </row>
    <row r="283" spans="2:6" ht="12.75">
      <c r="B283" s="457"/>
      <c r="C283" s="457"/>
      <c r="D283" s="457"/>
      <c r="E283" s="457"/>
      <c r="F283" s="457"/>
    </row>
    <row r="284" spans="2:6" ht="12.75">
      <c r="B284" s="457"/>
      <c r="C284" s="457"/>
      <c r="D284" s="457"/>
      <c r="E284" s="457"/>
      <c r="F284" s="457"/>
    </row>
    <row r="285" spans="2:6" ht="12.75">
      <c r="B285" s="457"/>
      <c r="C285" s="457"/>
      <c r="D285" s="457"/>
      <c r="E285" s="457"/>
      <c r="F285" s="457"/>
    </row>
    <row r="286" spans="2:6" ht="12.75">
      <c r="B286" s="457"/>
      <c r="C286" s="457"/>
      <c r="D286" s="457"/>
      <c r="E286" s="457"/>
      <c r="F286" s="457"/>
    </row>
    <row r="287" spans="2:6" ht="12.75">
      <c r="B287" s="457"/>
      <c r="C287" s="457"/>
      <c r="D287" s="457"/>
      <c r="E287" s="457"/>
      <c r="F287" s="457"/>
    </row>
    <row r="288" spans="2:6" ht="12.75">
      <c r="B288" s="457"/>
      <c r="C288" s="457"/>
      <c r="D288" s="457"/>
      <c r="E288" s="457"/>
      <c r="F288" s="457"/>
    </row>
    <row r="289" spans="2:6" ht="12.75">
      <c r="B289" s="457"/>
      <c r="C289" s="457"/>
      <c r="D289" s="457"/>
      <c r="E289" s="457"/>
      <c r="F289" s="457"/>
    </row>
    <row r="290" spans="2:6" ht="12.75">
      <c r="B290" s="457"/>
      <c r="C290" s="457"/>
      <c r="D290" s="457"/>
      <c r="E290" s="457"/>
      <c r="F290" s="457"/>
    </row>
    <row r="291" spans="2:6" ht="12.75">
      <c r="B291" s="457"/>
      <c r="C291" s="457"/>
      <c r="D291" s="457"/>
      <c r="E291" s="457"/>
      <c r="F291" s="457"/>
    </row>
    <row r="292" spans="2:6" ht="12.75">
      <c r="B292" s="457"/>
      <c r="C292" s="457"/>
      <c r="D292" s="457"/>
      <c r="E292" s="457"/>
      <c r="F292" s="457"/>
    </row>
    <row r="293" spans="2:6" ht="12.75">
      <c r="B293" s="457"/>
      <c r="C293" s="457"/>
      <c r="D293" s="457"/>
      <c r="E293" s="457"/>
      <c r="F293" s="457"/>
    </row>
    <row r="294" spans="2:6" ht="12.75">
      <c r="B294" s="457"/>
      <c r="C294" s="457"/>
      <c r="D294" s="457"/>
      <c r="E294" s="457"/>
      <c r="F294" s="457"/>
    </row>
    <row r="295" spans="2:6" ht="12.75">
      <c r="B295" s="457"/>
      <c r="C295" s="457"/>
      <c r="D295" s="457"/>
      <c r="E295" s="457"/>
      <c r="F295" s="457"/>
    </row>
    <row r="296" spans="2:6" ht="12.75">
      <c r="B296" s="457"/>
      <c r="C296" s="457"/>
      <c r="D296" s="457"/>
      <c r="E296" s="457"/>
      <c r="F296" s="457"/>
    </row>
    <row r="297" spans="2:6" ht="12.75">
      <c r="B297" s="457"/>
      <c r="C297" s="457"/>
      <c r="D297" s="457"/>
      <c r="E297" s="457"/>
      <c r="F297" s="457"/>
    </row>
    <row r="298" spans="2:6" ht="12.75">
      <c r="B298" s="457"/>
      <c r="C298" s="457"/>
      <c r="D298" s="457"/>
      <c r="E298" s="457"/>
      <c r="F298" s="457"/>
    </row>
    <row r="299" spans="2:6" ht="12.75">
      <c r="B299" s="457"/>
      <c r="C299" s="457"/>
      <c r="D299" s="457"/>
      <c r="E299" s="457"/>
      <c r="F299" s="457"/>
    </row>
    <row r="300" spans="2:6" ht="12.75">
      <c r="B300" s="457"/>
      <c r="C300" s="457"/>
      <c r="D300" s="457"/>
      <c r="E300" s="457"/>
      <c r="F300" s="457"/>
    </row>
    <row r="301" spans="2:6" ht="12.75">
      <c r="B301" s="457"/>
      <c r="C301" s="457"/>
      <c r="D301" s="457"/>
      <c r="E301" s="457"/>
      <c r="F301" s="457"/>
    </row>
    <row r="302" spans="2:6" ht="12.75">
      <c r="B302" s="457"/>
      <c r="C302" s="457"/>
      <c r="D302" s="457"/>
      <c r="E302" s="457"/>
      <c r="F302" s="457"/>
    </row>
    <row r="303" spans="2:6" ht="12.75">
      <c r="B303" s="457"/>
      <c r="C303" s="457"/>
      <c r="D303" s="457"/>
      <c r="E303" s="457"/>
      <c r="F303" s="457"/>
    </row>
    <row r="304" spans="2:6" ht="12.75">
      <c r="B304" s="457"/>
      <c r="C304" s="457"/>
      <c r="D304" s="457"/>
      <c r="E304" s="457"/>
      <c r="F304" s="457"/>
    </row>
    <row r="305" spans="2:6" ht="12.75">
      <c r="B305" s="457"/>
      <c r="C305" s="457"/>
      <c r="D305" s="457"/>
      <c r="E305" s="457"/>
      <c r="F305" s="457"/>
    </row>
    <row r="306" spans="2:6" ht="12.75">
      <c r="B306" s="457"/>
      <c r="C306" s="457"/>
      <c r="D306" s="457"/>
      <c r="E306" s="457"/>
      <c r="F306" s="457"/>
    </row>
    <row r="307" spans="2:6" ht="12.75">
      <c r="B307" s="457"/>
      <c r="C307" s="457"/>
      <c r="D307" s="457"/>
      <c r="E307" s="457"/>
      <c r="F307" s="457"/>
    </row>
    <row r="308" spans="2:6" ht="12.75">
      <c r="B308" s="457"/>
      <c r="C308" s="457"/>
      <c r="D308" s="457"/>
      <c r="E308" s="457"/>
      <c r="F308" s="457"/>
    </row>
    <row r="309" spans="2:6" ht="12.75">
      <c r="B309" s="457"/>
      <c r="C309" s="457"/>
      <c r="D309" s="457"/>
      <c r="E309" s="457"/>
      <c r="F309" s="457"/>
    </row>
    <row r="310" spans="2:6" ht="12.75">
      <c r="B310" s="457"/>
      <c r="C310" s="457"/>
      <c r="D310" s="457"/>
      <c r="E310" s="457"/>
      <c r="F310" s="457"/>
    </row>
    <row r="311" spans="2:6" ht="12.75">
      <c r="B311" s="457"/>
      <c r="C311" s="457"/>
      <c r="D311" s="457"/>
      <c r="E311" s="457"/>
      <c r="F311" s="457"/>
    </row>
    <row r="312" spans="2:6" ht="12.75">
      <c r="B312" s="457"/>
      <c r="C312" s="457"/>
      <c r="D312" s="457"/>
      <c r="E312" s="457"/>
      <c r="F312" s="457"/>
    </row>
    <row r="313" spans="2:6" ht="12.75">
      <c r="B313" s="457"/>
      <c r="C313" s="457"/>
      <c r="D313" s="457"/>
      <c r="E313" s="457"/>
      <c r="F313" s="457"/>
    </row>
    <row r="314" spans="2:6" ht="12.75">
      <c r="B314" s="457"/>
      <c r="C314" s="457"/>
      <c r="D314" s="457"/>
      <c r="E314" s="457"/>
      <c r="F314" s="457"/>
    </row>
    <row r="315" spans="2:6" ht="12.75">
      <c r="B315" s="457"/>
      <c r="C315" s="457"/>
      <c r="D315" s="457"/>
      <c r="E315" s="457"/>
      <c r="F315" s="457"/>
    </row>
    <row r="316" spans="2:6" ht="12.75">
      <c r="B316" s="457"/>
      <c r="C316" s="457"/>
      <c r="D316" s="457"/>
      <c r="E316" s="457"/>
      <c r="F316" s="457"/>
    </row>
    <row r="317" spans="2:6" ht="12.75">
      <c r="B317" s="457"/>
      <c r="C317" s="457"/>
      <c r="D317" s="457"/>
      <c r="E317" s="457"/>
      <c r="F317" s="457"/>
    </row>
    <row r="318" spans="2:6" ht="12.75">
      <c r="B318" s="457"/>
      <c r="C318" s="457"/>
      <c r="D318" s="457"/>
      <c r="E318" s="457"/>
      <c r="F318" s="457"/>
    </row>
    <row r="319" spans="2:6" ht="12.75">
      <c r="B319" s="457"/>
      <c r="C319" s="457"/>
      <c r="D319" s="457"/>
      <c r="E319" s="457"/>
      <c r="F319" s="457"/>
    </row>
    <row r="320" spans="2:6" ht="12.75">
      <c r="B320" s="457"/>
      <c r="C320" s="457"/>
      <c r="D320" s="457"/>
      <c r="E320" s="457"/>
      <c r="F320" s="457"/>
    </row>
    <row r="321" spans="2:6" ht="12.75">
      <c r="B321" s="457"/>
      <c r="C321" s="457"/>
      <c r="D321" s="457"/>
      <c r="E321" s="457"/>
      <c r="F321" s="457"/>
    </row>
    <row r="322" spans="2:6" ht="12.75">
      <c r="B322" s="457"/>
      <c r="C322" s="457"/>
      <c r="D322" s="457"/>
      <c r="E322" s="457"/>
      <c r="F322" s="457"/>
    </row>
    <row r="323" spans="2:6" ht="12.75">
      <c r="B323" s="457"/>
      <c r="C323" s="457"/>
      <c r="D323" s="457"/>
      <c r="E323" s="457"/>
      <c r="F323" s="457"/>
    </row>
    <row r="324" spans="2:6" ht="12.75">
      <c r="B324" s="457"/>
      <c r="C324" s="457"/>
      <c r="D324" s="457"/>
      <c r="E324" s="457"/>
      <c r="F324" s="457"/>
    </row>
    <row r="325" spans="2:6" ht="12.75">
      <c r="B325" s="457"/>
      <c r="C325" s="457"/>
      <c r="D325" s="457"/>
      <c r="E325" s="457"/>
      <c r="F325" s="457"/>
    </row>
    <row r="326" spans="2:6" ht="12.75">
      <c r="B326" s="457"/>
      <c r="C326" s="457"/>
      <c r="D326" s="457"/>
      <c r="E326" s="457"/>
      <c r="F326" s="457"/>
    </row>
    <row r="327" spans="2:6" ht="12.75">
      <c r="B327" s="457"/>
      <c r="C327" s="457"/>
      <c r="D327" s="457"/>
      <c r="E327" s="457"/>
      <c r="F327" s="457"/>
    </row>
    <row r="328" spans="2:6" ht="12.75">
      <c r="B328" s="457"/>
      <c r="C328" s="457"/>
      <c r="D328" s="457"/>
      <c r="E328" s="457"/>
      <c r="F328" s="457"/>
    </row>
    <row r="329" spans="2:6" ht="12.75">
      <c r="B329" s="457"/>
      <c r="C329" s="457"/>
      <c r="D329" s="457"/>
      <c r="E329" s="457"/>
      <c r="F329" s="457"/>
    </row>
    <row r="330" spans="2:6" ht="12.75">
      <c r="B330" s="457"/>
      <c r="C330" s="457"/>
      <c r="D330" s="457"/>
      <c r="E330" s="457"/>
      <c r="F330" s="457"/>
    </row>
    <row r="331" spans="2:6" ht="12.75">
      <c r="B331" s="457"/>
      <c r="C331" s="457"/>
      <c r="D331" s="457"/>
      <c r="E331" s="457"/>
      <c r="F331" s="457"/>
    </row>
    <row r="332" spans="2:6" ht="12.75">
      <c r="B332" s="457"/>
      <c r="C332" s="457"/>
      <c r="D332" s="457"/>
      <c r="E332" s="457"/>
      <c r="F332" s="457"/>
    </row>
    <row r="333" spans="2:6" ht="12.75">
      <c r="B333" s="457"/>
      <c r="C333" s="457"/>
      <c r="D333" s="457"/>
      <c r="E333" s="457"/>
      <c r="F333" s="457"/>
    </row>
    <row r="334" spans="2:6" ht="12.75">
      <c r="B334" s="457"/>
      <c r="C334" s="457"/>
      <c r="D334" s="457"/>
      <c r="E334" s="457"/>
      <c r="F334" s="457"/>
    </row>
    <row r="335" spans="2:6" ht="12.75">
      <c r="B335" s="457"/>
      <c r="C335" s="457"/>
      <c r="D335" s="457"/>
      <c r="E335" s="457"/>
      <c r="F335" s="457"/>
    </row>
    <row r="336" spans="2:6" ht="12.75">
      <c r="B336" s="457"/>
      <c r="C336" s="457"/>
      <c r="D336" s="457"/>
      <c r="E336" s="457"/>
      <c r="F336" s="457"/>
    </row>
    <row r="337" spans="2:6" ht="12.75">
      <c r="B337" s="457"/>
      <c r="C337" s="457"/>
      <c r="D337" s="457"/>
      <c r="E337" s="457"/>
      <c r="F337" s="457"/>
    </row>
    <row r="338" spans="2:6" ht="12.75">
      <c r="B338" s="457"/>
      <c r="C338" s="457"/>
      <c r="D338" s="457"/>
      <c r="E338" s="457"/>
      <c r="F338" s="457"/>
    </row>
    <row r="339" spans="2:6" ht="12.75">
      <c r="B339" s="457"/>
      <c r="C339" s="457"/>
      <c r="D339" s="457"/>
      <c r="E339" s="457"/>
      <c r="F339" s="457"/>
    </row>
    <row r="340" spans="2:6" ht="12.75">
      <c r="B340" s="457"/>
      <c r="C340" s="457"/>
      <c r="D340" s="457"/>
      <c r="E340" s="457"/>
      <c r="F340" s="457"/>
    </row>
    <row r="341" spans="2:6" ht="12.75">
      <c r="B341" s="457"/>
      <c r="C341" s="457"/>
      <c r="D341" s="457"/>
      <c r="E341" s="457"/>
      <c r="F341" s="457"/>
    </row>
    <row r="342" spans="2:6" ht="12.75">
      <c r="B342" s="457"/>
      <c r="C342" s="457"/>
      <c r="D342" s="457"/>
      <c r="E342" s="457"/>
      <c r="F342" s="457"/>
    </row>
    <row r="343" spans="2:6" ht="12.75">
      <c r="B343" s="457"/>
      <c r="C343" s="457"/>
      <c r="D343" s="457"/>
      <c r="E343" s="457"/>
      <c r="F343" s="457"/>
    </row>
    <row r="344" spans="2:6" ht="12.75">
      <c r="B344" s="457"/>
      <c r="C344" s="457"/>
      <c r="D344" s="457"/>
      <c r="E344" s="457"/>
      <c r="F344" s="457"/>
    </row>
    <row r="345" spans="2:6" ht="12.75">
      <c r="B345" s="457"/>
      <c r="C345" s="457"/>
      <c r="D345" s="457"/>
      <c r="E345" s="457"/>
      <c r="F345" s="457"/>
    </row>
    <row r="346" spans="2:6" ht="12.75">
      <c r="B346" s="457"/>
      <c r="C346" s="457"/>
      <c r="D346" s="457"/>
      <c r="E346" s="457"/>
      <c r="F346" s="457"/>
    </row>
    <row r="347" spans="2:6" ht="12.75">
      <c r="B347" s="457"/>
      <c r="C347" s="457"/>
      <c r="D347" s="457"/>
      <c r="E347" s="457"/>
      <c r="F347" s="457"/>
    </row>
    <row r="348" spans="2:6" ht="12.75">
      <c r="B348" s="457"/>
      <c r="C348" s="457"/>
      <c r="D348" s="457"/>
      <c r="E348" s="457"/>
      <c r="F348" s="457"/>
    </row>
    <row r="349" spans="2:6" ht="12.75">
      <c r="B349" s="457"/>
      <c r="C349" s="457"/>
      <c r="D349" s="457"/>
      <c r="E349" s="457"/>
      <c r="F349" s="457"/>
    </row>
    <row r="350" spans="2:6" ht="12.75">
      <c r="B350" s="457"/>
      <c r="C350" s="457"/>
      <c r="D350" s="457"/>
      <c r="E350" s="457"/>
      <c r="F350" s="457"/>
    </row>
    <row r="351" spans="2:6" ht="12.75">
      <c r="B351" s="457"/>
      <c r="C351" s="457"/>
      <c r="D351" s="457"/>
      <c r="E351" s="457"/>
      <c r="F351" s="457"/>
    </row>
    <row r="352" spans="2:6" ht="12.75">
      <c r="B352" s="457"/>
      <c r="C352" s="457"/>
      <c r="D352" s="457"/>
      <c r="E352" s="457"/>
      <c r="F352" s="457"/>
    </row>
    <row r="353" spans="2:6" ht="12.75">
      <c r="B353" s="457"/>
      <c r="C353" s="457"/>
      <c r="D353" s="457"/>
      <c r="E353" s="457"/>
      <c r="F353" s="457"/>
    </row>
    <row r="354" spans="2:6" ht="12.75">
      <c r="B354" s="457"/>
      <c r="C354" s="457"/>
      <c r="D354" s="457"/>
      <c r="E354" s="457"/>
      <c r="F354" s="457"/>
    </row>
    <row r="355" spans="2:6" ht="12.75">
      <c r="B355" s="457"/>
      <c r="C355" s="457"/>
      <c r="D355" s="457"/>
      <c r="E355" s="457"/>
      <c r="F355" s="457"/>
    </row>
    <row r="356" spans="2:6" ht="12.75">
      <c r="B356" s="457"/>
      <c r="C356" s="457"/>
      <c r="D356" s="457"/>
      <c r="E356" s="457"/>
      <c r="F356" s="457"/>
    </row>
    <row r="357" spans="2:6" ht="12.75">
      <c r="B357" s="457"/>
      <c r="C357" s="457"/>
      <c r="D357" s="457"/>
      <c r="E357" s="457"/>
      <c r="F357" s="457"/>
    </row>
    <row r="358" spans="2:6" ht="12.75">
      <c r="B358" s="457"/>
      <c r="C358" s="457"/>
      <c r="D358" s="457"/>
      <c r="E358" s="457"/>
      <c r="F358" s="457"/>
    </row>
    <row r="359" spans="2:6" ht="12.75">
      <c r="B359" s="457"/>
      <c r="C359" s="457"/>
      <c r="D359" s="457"/>
      <c r="E359" s="457"/>
      <c r="F359" s="457"/>
    </row>
    <row r="360" spans="2:6" ht="12.75">
      <c r="B360" s="457"/>
      <c r="C360" s="457"/>
      <c r="D360" s="457"/>
      <c r="E360" s="457"/>
      <c r="F360" s="457"/>
    </row>
    <row r="361" spans="2:6" ht="12.75">
      <c r="B361" s="457"/>
      <c r="C361" s="457"/>
      <c r="D361" s="457"/>
      <c r="E361" s="457"/>
      <c r="F361" s="457"/>
    </row>
    <row r="362" spans="2:6" ht="12.75">
      <c r="B362" s="457"/>
      <c r="C362" s="457"/>
      <c r="D362" s="457"/>
      <c r="E362" s="457"/>
      <c r="F362" s="457"/>
    </row>
    <row r="363" spans="2:6" ht="12.75">
      <c r="B363" s="457"/>
      <c r="C363" s="457"/>
      <c r="D363" s="457"/>
      <c r="E363" s="457"/>
      <c r="F363" s="457"/>
    </row>
    <row r="364" spans="2:6" ht="12.75">
      <c r="B364" s="457"/>
      <c r="C364" s="457"/>
      <c r="D364" s="457"/>
      <c r="E364" s="457"/>
      <c r="F364" s="457"/>
    </row>
    <row r="365" spans="2:6" ht="12.75">
      <c r="B365" s="457"/>
      <c r="C365" s="457"/>
      <c r="D365" s="457"/>
      <c r="E365" s="457"/>
      <c r="F365" s="457"/>
    </row>
    <row r="366" spans="2:6" ht="12.75">
      <c r="B366" s="457"/>
      <c r="C366" s="457"/>
      <c r="D366" s="457"/>
      <c r="E366" s="457"/>
      <c r="F366" s="457"/>
    </row>
    <row r="367" spans="2:6" ht="12.75">
      <c r="B367" s="457"/>
      <c r="C367" s="457"/>
      <c r="D367" s="457"/>
      <c r="E367" s="457"/>
      <c r="F367" s="457"/>
    </row>
    <row r="368" spans="2:6" ht="12.75">
      <c r="B368" s="457"/>
      <c r="C368" s="457"/>
      <c r="D368" s="457"/>
      <c r="E368" s="457"/>
      <c r="F368" s="457"/>
    </row>
    <row r="369" spans="2:6" ht="12.75">
      <c r="B369" s="457"/>
      <c r="C369" s="457"/>
      <c r="D369" s="457"/>
      <c r="E369" s="457"/>
      <c r="F369" s="457"/>
    </row>
    <row r="370" spans="2:6" ht="12.75">
      <c r="B370" s="457"/>
      <c r="C370" s="457"/>
      <c r="D370" s="457"/>
      <c r="E370" s="457"/>
      <c r="F370" s="457"/>
    </row>
    <row r="371" spans="2:6" ht="12.75">
      <c r="B371" s="457"/>
      <c r="C371" s="457"/>
      <c r="D371" s="457"/>
      <c r="E371" s="457"/>
      <c r="F371" s="457"/>
    </row>
    <row r="372" spans="2:6" ht="12.75">
      <c r="B372" s="457"/>
      <c r="C372" s="457"/>
      <c r="D372" s="457"/>
      <c r="E372" s="457"/>
      <c r="F372" s="457"/>
    </row>
    <row r="373" spans="2:6" ht="12.75">
      <c r="B373" s="457"/>
      <c r="C373" s="457"/>
      <c r="D373" s="457"/>
      <c r="E373" s="457"/>
      <c r="F373" s="457"/>
    </row>
    <row r="374" spans="2:6" ht="12.75">
      <c r="B374" s="457"/>
      <c r="C374" s="457"/>
      <c r="D374" s="457"/>
      <c r="E374" s="457"/>
      <c r="F374" s="457"/>
    </row>
    <row r="375" spans="2:6" ht="12.75">
      <c r="B375" s="457"/>
      <c r="C375" s="457"/>
      <c r="D375" s="457"/>
      <c r="E375" s="457"/>
      <c r="F375" s="457"/>
    </row>
    <row r="376" spans="2:6" ht="12.75">
      <c r="B376" s="457"/>
      <c r="C376" s="457"/>
      <c r="D376" s="457"/>
      <c r="E376" s="457"/>
      <c r="F376" s="457"/>
    </row>
    <row r="377" spans="2:6" ht="12.75">
      <c r="B377" s="457"/>
      <c r="C377" s="457"/>
      <c r="D377" s="457"/>
      <c r="E377" s="457"/>
      <c r="F377" s="457"/>
    </row>
    <row r="378" spans="2:6" ht="12.75">
      <c r="B378" s="457"/>
      <c r="C378" s="457"/>
      <c r="D378" s="457"/>
      <c r="E378" s="457"/>
      <c r="F378" s="457"/>
    </row>
    <row r="379" spans="2:6" ht="12.75">
      <c r="B379" s="457"/>
      <c r="C379" s="457"/>
      <c r="D379" s="457"/>
      <c r="E379" s="457"/>
      <c r="F379" s="457"/>
    </row>
    <row r="380" spans="2:6" ht="12.75">
      <c r="B380" s="457"/>
      <c r="C380" s="457"/>
      <c r="D380" s="457"/>
      <c r="E380" s="457"/>
      <c r="F380" s="457"/>
    </row>
    <row r="381" spans="2:6" ht="12.75">
      <c r="B381" s="457"/>
      <c r="C381" s="457"/>
      <c r="D381" s="457"/>
      <c r="E381" s="457"/>
      <c r="F381" s="457"/>
    </row>
    <row r="382" spans="2:6" ht="12.75">
      <c r="B382" s="457"/>
      <c r="C382" s="457"/>
      <c r="D382" s="457"/>
      <c r="E382" s="457"/>
      <c r="F382" s="457"/>
    </row>
    <row r="383" spans="2:6" ht="12.75">
      <c r="B383" s="457"/>
      <c r="C383" s="457"/>
      <c r="D383" s="457"/>
      <c r="E383" s="457"/>
      <c r="F383" s="457"/>
    </row>
    <row r="384" spans="2:6" ht="12.75">
      <c r="B384" s="457"/>
      <c r="C384" s="457"/>
      <c r="D384" s="457"/>
      <c r="E384" s="457"/>
      <c r="F384" s="457"/>
    </row>
    <row r="385" spans="2:6" ht="12.75">
      <c r="B385" s="457"/>
      <c r="C385" s="457"/>
      <c r="D385" s="457"/>
      <c r="E385" s="457"/>
      <c r="F385" s="457"/>
    </row>
    <row r="386" spans="2:6" ht="12.75">
      <c r="B386" s="457"/>
      <c r="C386" s="457"/>
      <c r="D386" s="457"/>
      <c r="E386" s="457"/>
      <c r="F386" s="457"/>
    </row>
    <row r="387" spans="2:6" ht="12.75">
      <c r="B387" s="457"/>
      <c r="C387" s="457"/>
      <c r="D387" s="457"/>
      <c r="E387" s="457"/>
      <c r="F387" s="457"/>
    </row>
    <row r="388" spans="2:6" ht="12.75">
      <c r="B388" s="457"/>
      <c r="C388" s="457"/>
      <c r="D388" s="457"/>
      <c r="E388" s="457"/>
      <c r="F388" s="457"/>
    </row>
    <row r="389" spans="2:6" ht="12.75">
      <c r="B389" s="457"/>
      <c r="C389" s="457"/>
      <c r="D389" s="457"/>
      <c r="E389" s="457"/>
      <c r="F389" s="457"/>
    </row>
    <row r="390" spans="2:6" ht="12.75">
      <c r="B390" s="457"/>
      <c r="C390" s="457"/>
      <c r="D390" s="457"/>
      <c r="E390" s="457"/>
      <c r="F390" s="457"/>
    </row>
    <row r="391" spans="2:6" ht="12.75">
      <c r="B391" s="457"/>
      <c r="C391" s="457"/>
      <c r="D391" s="457"/>
      <c r="E391" s="457"/>
      <c r="F391" s="457"/>
    </row>
    <row r="392" spans="2:6" ht="12.75">
      <c r="B392" s="457"/>
      <c r="C392" s="457"/>
      <c r="D392" s="457"/>
      <c r="E392" s="457"/>
      <c r="F392" s="457"/>
    </row>
    <row r="393" spans="2:6" ht="12.75">
      <c r="B393" s="457"/>
      <c r="C393" s="457"/>
      <c r="D393" s="457"/>
      <c r="E393" s="457"/>
      <c r="F393" s="457"/>
    </row>
    <row r="394" spans="2:6" ht="12.75">
      <c r="B394" s="457"/>
      <c r="C394" s="457"/>
      <c r="D394" s="457"/>
      <c r="E394" s="457"/>
      <c r="F394" s="457"/>
    </row>
    <row r="395" spans="2:6" ht="12.75">
      <c r="B395" s="457"/>
      <c r="C395" s="457"/>
      <c r="D395" s="457"/>
      <c r="E395" s="457"/>
      <c r="F395" s="457"/>
    </row>
    <row r="396" spans="2:6" ht="12.75">
      <c r="B396" s="457"/>
      <c r="C396" s="457"/>
      <c r="D396" s="457"/>
      <c r="E396" s="457"/>
      <c r="F396" s="457"/>
    </row>
    <row r="397" spans="2:6" ht="12.75">
      <c r="B397" s="457"/>
      <c r="C397" s="457"/>
      <c r="D397" s="457"/>
      <c r="E397" s="457"/>
      <c r="F397" s="457"/>
    </row>
    <row r="398" spans="2:6" ht="12.75">
      <c r="B398" s="457"/>
      <c r="C398" s="457"/>
      <c r="D398" s="457"/>
      <c r="E398" s="457"/>
      <c r="F398" s="457"/>
    </row>
    <row r="399" spans="2:6" ht="12.75">
      <c r="B399" s="457"/>
      <c r="C399" s="457"/>
      <c r="D399" s="457"/>
      <c r="E399" s="457"/>
      <c r="F399" s="457"/>
    </row>
    <row r="400" spans="2:6" ht="12.75">
      <c r="B400" s="457"/>
      <c r="C400" s="457"/>
      <c r="D400" s="457"/>
      <c r="E400" s="457"/>
      <c r="F400" s="457"/>
    </row>
    <row r="401" spans="2:6" ht="12.75">
      <c r="B401" s="457"/>
      <c r="C401" s="457"/>
      <c r="D401" s="457"/>
      <c r="E401" s="457"/>
      <c r="F401" s="457"/>
    </row>
    <row r="402" spans="2:6" ht="12.75">
      <c r="B402" s="457"/>
      <c r="C402" s="457"/>
      <c r="D402" s="457"/>
      <c r="E402" s="457"/>
      <c r="F402" s="457"/>
    </row>
    <row r="403" spans="2:6" ht="12.75">
      <c r="B403" s="457"/>
      <c r="C403" s="457"/>
      <c r="D403" s="457"/>
      <c r="E403" s="457"/>
      <c r="F403" s="457"/>
    </row>
    <row r="404" spans="2:6" ht="12.75">
      <c r="B404" s="457"/>
      <c r="C404" s="457"/>
      <c r="D404" s="457"/>
      <c r="E404" s="457"/>
      <c r="F404" s="457"/>
    </row>
    <row r="405" spans="2:6" ht="12.75">
      <c r="B405" s="457"/>
      <c r="C405" s="457"/>
      <c r="D405" s="457"/>
      <c r="E405" s="457"/>
      <c r="F405" s="457"/>
    </row>
    <row r="406" spans="2:6" ht="12.75">
      <c r="B406" s="457"/>
      <c r="C406" s="457"/>
      <c r="D406" s="457"/>
      <c r="E406" s="457"/>
      <c r="F406" s="457"/>
    </row>
    <row r="407" spans="2:6" ht="12.75">
      <c r="B407" s="457"/>
      <c r="C407" s="457"/>
      <c r="D407" s="457"/>
      <c r="E407" s="457"/>
      <c r="F407" s="457"/>
    </row>
    <row r="408" spans="2:6" ht="12.75">
      <c r="B408" s="457"/>
      <c r="C408" s="457"/>
      <c r="D408" s="457"/>
      <c r="E408" s="457"/>
      <c r="F408" s="457"/>
    </row>
    <row r="409" spans="2:6" ht="12.75">
      <c r="B409" s="457"/>
      <c r="C409" s="457"/>
      <c r="D409" s="457"/>
      <c r="E409" s="457"/>
      <c r="F409" s="457"/>
    </row>
    <row r="410" spans="2:6" ht="12.75">
      <c r="B410" s="457"/>
      <c r="C410" s="457"/>
      <c r="D410" s="457"/>
      <c r="E410" s="457"/>
      <c r="F410" s="457"/>
    </row>
    <row r="411" spans="2:6" ht="12.75">
      <c r="B411" s="457"/>
      <c r="C411" s="457"/>
      <c r="D411" s="457"/>
      <c r="E411" s="457"/>
      <c r="F411" s="457"/>
    </row>
    <row r="412" spans="2:6" ht="12.75">
      <c r="B412" s="457"/>
      <c r="C412" s="457"/>
      <c r="D412" s="457"/>
      <c r="E412" s="457"/>
      <c r="F412" s="457"/>
    </row>
    <row r="413" spans="2:6" ht="12.75">
      <c r="B413" s="457"/>
      <c r="C413" s="457"/>
      <c r="D413" s="457"/>
      <c r="E413" s="457"/>
      <c r="F413" s="457"/>
    </row>
    <row r="414" spans="2:6" ht="12.75">
      <c r="B414" s="457"/>
      <c r="C414" s="457"/>
      <c r="D414" s="457"/>
      <c r="E414" s="457"/>
      <c r="F414" s="457"/>
    </row>
    <row r="415" spans="2:6" ht="12.75">
      <c r="B415" s="457"/>
      <c r="C415" s="457"/>
      <c r="D415" s="457"/>
      <c r="E415" s="457"/>
      <c r="F415" s="457"/>
    </row>
    <row r="416" spans="2:6" ht="12.75">
      <c r="B416" s="457"/>
      <c r="C416" s="457"/>
      <c r="D416" s="457"/>
      <c r="E416" s="457"/>
      <c r="F416" s="457"/>
    </row>
    <row r="417" spans="2:6" ht="12.75">
      <c r="B417" s="457"/>
      <c r="C417" s="457"/>
      <c r="D417" s="457"/>
      <c r="E417" s="457"/>
      <c r="F417" s="457"/>
    </row>
    <row r="418" spans="2:6" ht="12.75">
      <c r="B418" s="457"/>
      <c r="C418" s="457"/>
      <c r="D418" s="457"/>
      <c r="E418" s="457"/>
      <c r="F418" s="457"/>
    </row>
    <row r="419" spans="2:6" ht="12.75">
      <c r="B419" s="457"/>
      <c r="C419" s="457"/>
      <c r="D419" s="457"/>
      <c r="E419" s="457"/>
      <c r="F419" s="457"/>
    </row>
    <row r="420" spans="2:6" ht="12.75">
      <c r="B420" s="457"/>
      <c r="C420" s="457"/>
      <c r="D420" s="457"/>
      <c r="E420" s="457"/>
      <c r="F420" s="457"/>
    </row>
    <row r="421" spans="2:6" ht="12.75">
      <c r="B421" s="457"/>
      <c r="C421" s="457"/>
      <c r="D421" s="457"/>
      <c r="E421" s="457"/>
      <c r="F421" s="457"/>
    </row>
    <row r="422" spans="2:6" ht="12.75">
      <c r="B422" s="457"/>
      <c r="C422" s="457"/>
      <c r="D422" s="457"/>
      <c r="E422" s="457"/>
      <c r="F422" s="457"/>
    </row>
    <row r="423" spans="2:6" ht="12.75">
      <c r="B423" s="457"/>
      <c r="C423" s="457"/>
      <c r="D423" s="457"/>
      <c r="E423" s="457"/>
      <c r="F423" s="457"/>
    </row>
    <row r="424" spans="2:6" ht="12.75">
      <c r="B424" s="457"/>
      <c r="C424" s="457"/>
      <c r="D424" s="457"/>
      <c r="E424" s="457"/>
      <c r="F424" s="457"/>
    </row>
    <row r="425" spans="2:6" ht="12.75">
      <c r="B425" s="457"/>
      <c r="C425" s="457"/>
      <c r="D425" s="457"/>
      <c r="E425" s="457"/>
      <c r="F425" s="457"/>
    </row>
    <row r="426" spans="2:6" ht="12.75">
      <c r="B426" s="457"/>
      <c r="C426" s="457"/>
      <c r="D426" s="457"/>
      <c r="E426" s="457"/>
      <c r="F426" s="457"/>
    </row>
    <row r="427" spans="2:6" ht="12.75">
      <c r="B427" s="457"/>
      <c r="C427" s="457"/>
      <c r="D427" s="457"/>
      <c r="E427" s="457"/>
      <c r="F427" s="457"/>
    </row>
    <row r="428" spans="2:6" ht="12.75">
      <c r="B428" s="457"/>
      <c r="C428" s="457"/>
      <c r="D428" s="457"/>
      <c r="E428" s="457"/>
      <c r="F428" s="457"/>
    </row>
    <row r="429" spans="2:6" ht="12.75">
      <c r="B429" s="457"/>
      <c r="C429" s="457"/>
      <c r="D429" s="457"/>
      <c r="E429" s="457"/>
      <c r="F429" s="457"/>
    </row>
    <row r="430" spans="2:6" ht="12.75">
      <c r="B430" s="457"/>
      <c r="C430" s="457"/>
      <c r="D430" s="457"/>
      <c r="E430" s="457"/>
      <c r="F430" s="457"/>
    </row>
    <row r="431" spans="2:6" ht="12.75">
      <c r="B431" s="457"/>
      <c r="C431" s="457"/>
      <c r="D431" s="457"/>
      <c r="E431" s="457"/>
      <c r="F431" s="457"/>
    </row>
    <row r="432" spans="2:6" ht="12.75">
      <c r="B432" s="457"/>
      <c r="C432" s="457"/>
      <c r="D432" s="457"/>
      <c r="E432" s="457"/>
      <c r="F432" s="457"/>
    </row>
    <row r="433" spans="2:6" ht="12.75">
      <c r="B433" s="457"/>
      <c r="C433" s="457"/>
      <c r="D433" s="457"/>
      <c r="E433" s="457"/>
      <c r="F433" s="457"/>
    </row>
    <row r="434" spans="2:6" ht="12.75">
      <c r="B434" s="457"/>
      <c r="C434" s="457"/>
      <c r="D434" s="457"/>
      <c r="E434" s="457"/>
      <c r="F434" s="457"/>
    </row>
    <row r="435" spans="2:6" ht="12.75">
      <c r="B435" s="457"/>
      <c r="C435" s="457"/>
      <c r="D435" s="457"/>
      <c r="E435" s="457"/>
      <c r="F435" s="457"/>
    </row>
    <row r="436" spans="2:6" ht="12.75">
      <c r="B436" s="457"/>
      <c r="C436" s="457"/>
      <c r="D436" s="457"/>
      <c r="E436" s="457"/>
      <c r="F436" s="457"/>
    </row>
    <row r="437" spans="2:6" ht="12.75">
      <c r="B437" s="457"/>
      <c r="C437" s="457"/>
      <c r="D437" s="457"/>
      <c r="E437" s="457"/>
      <c r="F437" s="457"/>
    </row>
    <row r="438" spans="2:6" ht="12.75">
      <c r="B438" s="457"/>
      <c r="C438" s="457"/>
      <c r="D438" s="457"/>
      <c r="E438" s="457"/>
      <c r="F438" s="457"/>
    </row>
    <row r="439" spans="2:6" ht="12.75">
      <c r="B439" s="457"/>
      <c r="C439" s="457"/>
      <c r="D439" s="457"/>
      <c r="E439" s="457"/>
      <c r="F439" s="457"/>
    </row>
    <row r="440" spans="2:6" ht="12.75">
      <c r="B440" s="457"/>
      <c r="C440" s="457"/>
      <c r="D440" s="457"/>
      <c r="E440" s="457"/>
      <c r="F440" s="457"/>
    </row>
    <row r="441" spans="2:6" ht="12.75">
      <c r="B441" s="457"/>
      <c r="C441" s="457"/>
      <c r="D441" s="457"/>
      <c r="E441" s="457"/>
      <c r="F441" s="457"/>
    </row>
    <row r="442" spans="2:6" ht="12.75">
      <c r="B442" s="457"/>
      <c r="C442" s="457"/>
      <c r="D442" s="457"/>
      <c r="E442" s="457"/>
      <c r="F442" s="457"/>
    </row>
    <row r="443" spans="2:6" ht="12.75">
      <c r="B443" s="457"/>
      <c r="C443" s="457"/>
      <c r="D443" s="457"/>
      <c r="E443" s="457"/>
      <c r="F443" s="457"/>
    </row>
    <row r="444" spans="2:6" ht="12.75">
      <c r="B444" s="457"/>
      <c r="C444" s="457"/>
      <c r="D444" s="457"/>
      <c r="E444" s="457"/>
      <c r="F444" s="457"/>
    </row>
    <row r="445" spans="2:6" ht="12.75">
      <c r="B445" s="457"/>
      <c r="C445" s="457"/>
      <c r="D445" s="457"/>
      <c r="E445" s="457"/>
      <c r="F445" s="457"/>
    </row>
    <row r="446" spans="2:6" ht="12.75">
      <c r="B446" s="457"/>
      <c r="C446" s="457"/>
      <c r="D446" s="457"/>
      <c r="E446" s="457"/>
      <c r="F446" s="457"/>
    </row>
    <row r="447" spans="2:6" ht="12.75">
      <c r="B447" s="457"/>
      <c r="C447" s="457"/>
      <c r="D447" s="457"/>
      <c r="E447" s="457"/>
      <c r="F447" s="457"/>
    </row>
    <row r="448" spans="2:6" ht="12.75">
      <c r="B448" s="457"/>
      <c r="C448" s="457"/>
      <c r="D448" s="457"/>
      <c r="E448" s="457"/>
      <c r="F448" s="457"/>
    </row>
    <row r="449" spans="2:6" ht="12.75">
      <c r="B449" s="457"/>
      <c r="C449" s="457"/>
      <c r="D449" s="457"/>
      <c r="E449" s="457"/>
      <c r="F449" s="457"/>
    </row>
    <row r="450" spans="2:6" ht="12.75">
      <c r="B450" s="457"/>
      <c r="C450" s="457"/>
      <c r="D450" s="457"/>
      <c r="E450" s="457"/>
      <c r="F450" s="457"/>
    </row>
    <row r="451" spans="2:6" ht="12.75">
      <c r="B451" s="457"/>
      <c r="C451" s="457"/>
      <c r="D451" s="457"/>
      <c r="E451" s="457"/>
      <c r="F451" s="457"/>
    </row>
    <row r="452" spans="2:6" ht="12.75">
      <c r="B452" s="457"/>
      <c r="C452" s="457"/>
      <c r="D452" s="457"/>
      <c r="E452" s="457"/>
      <c r="F452" s="457"/>
    </row>
    <row r="453" spans="2:6" ht="12.75">
      <c r="B453" s="457"/>
      <c r="C453" s="457"/>
      <c r="D453" s="457"/>
      <c r="E453" s="457"/>
      <c r="F453" s="457"/>
    </row>
    <row r="454" spans="2:6" ht="12.75">
      <c r="B454" s="457"/>
      <c r="C454" s="457"/>
      <c r="D454" s="457"/>
      <c r="E454" s="457"/>
      <c r="F454" s="457"/>
    </row>
    <row r="455" spans="2:6" ht="12.75">
      <c r="B455" s="457"/>
      <c r="C455" s="457"/>
      <c r="D455" s="457"/>
      <c r="E455" s="457"/>
      <c r="F455" s="457"/>
    </row>
    <row r="456" spans="2:6" ht="12.75">
      <c r="B456" s="457"/>
      <c r="C456" s="457"/>
      <c r="D456" s="457"/>
      <c r="E456" s="457"/>
      <c r="F456" s="457"/>
    </row>
    <row r="457" spans="2:6" ht="12.75">
      <c r="B457" s="457"/>
      <c r="C457" s="457"/>
      <c r="D457" s="457"/>
      <c r="E457" s="457"/>
      <c r="F457" s="457"/>
    </row>
    <row r="458" spans="2:6" ht="12.75">
      <c r="B458" s="457"/>
      <c r="C458" s="457"/>
      <c r="D458" s="457"/>
      <c r="E458" s="457"/>
      <c r="F458" s="457"/>
    </row>
    <row r="459" spans="2:6" ht="12.75">
      <c r="B459" s="457"/>
      <c r="C459" s="457"/>
      <c r="D459" s="457"/>
      <c r="E459" s="457"/>
      <c r="F459" s="457"/>
    </row>
    <row r="460" spans="2:6" ht="12.75">
      <c r="B460" s="457"/>
      <c r="C460" s="457"/>
      <c r="D460" s="457"/>
      <c r="E460" s="457"/>
      <c r="F460" s="457"/>
    </row>
    <row r="461" spans="2:6" ht="12.75">
      <c r="B461" s="457"/>
      <c r="C461" s="457"/>
      <c r="D461" s="457"/>
      <c r="E461" s="457"/>
      <c r="F461" s="457"/>
    </row>
    <row r="462" spans="2:6" ht="12.75">
      <c r="B462" s="457"/>
      <c r="C462" s="457"/>
      <c r="D462" s="457"/>
      <c r="E462" s="457"/>
      <c r="F462" s="457"/>
    </row>
    <row r="463" spans="2:6" ht="12.75">
      <c r="B463" s="457"/>
      <c r="C463" s="457"/>
      <c r="D463" s="457"/>
      <c r="E463" s="457"/>
      <c r="F463" s="457"/>
    </row>
    <row r="464" spans="2:6" ht="12.75">
      <c r="B464" s="457"/>
      <c r="C464" s="457"/>
      <c r="D464" s="457"/>
      <c r="E464" s="457"/>
      <c r="F464" s="457"/>
    </row>
    <row r="465" spans="2:6" ht="12.75">
      <c r="B465" s="457"/>
      <c r="C465" s="457"/>
      <c r="D465" s="457"/>
      <c r="E465" s="457"/>
      <c r="F465" s="457"/>
    </row>
    <row r="466" spans="2:6" ht="12.75">
      <c r="B466" s="457"/>
      <c r="C466" s="457"/>
      <c r="D466" s="457"/>
      <c r="E466" s="457"/>
      <c r="F466" s="457"/>
    </row>
    <row r="467" spans="2:6" ht="12.75">
      <c r="B467" s="457"/>
      <c r="C467" s="457"/>
      <c r="D467" s="457"/>
      <c r="E467" s="457"/>
      <c r="F467" s="457"/>
    </row>
    <row r="468" spans="2:6" ht="12.75">
      <c r="B468" s="457"/>
      <c r="C468" s="457"/>
      <c r="D468" s="457"/>
      <c r="E468" s="457"/>
      <c r="F468" s="457"/>
    </row>
    <row r="469" spans="2:6" ht="12.75">
      <c r="B469" s="457"/>
      <c r="C469" s="457"/>
      <c r="D469" s="457"/>
      <c r="E469" s="457"/>
      <c r="F469" s="457"/>
    </row>
    <row r="470" spans="2:6" ht="12.75">
      <c r="B470" s="457"/>
      <c r="C470" s="457"/>
      <c r="D470" s="457"/>
      <c r="E470" s="457"/>
      <c r="F470" s="457"/>
    </row>
    <row r="471" spans="2:6" ht="12.75">
      <c r="B471" s="457"/>
      <c r="C471" s="457"/>
      <c r="D471" s="457"/>
      <c r="E471" s="457"/>
      <c r="F471" s="457"/>
    </row>
    <row r="472" spans="2:6" ht="12.75">
      <c r="B472" s="457"/>
      <c r="C472" s="457"/>
      <c r="D472" s="457"/>
      <c r="E472" s="457"/>
      <c r="F472" s="457"/>
    </row>
    <row r="473" spans="2:6" ht="12.75">
      <c r="B473" s="457"/>
      <c r="C473" s="457"/>
      <c r="D473" s="457"/>
      <c r="E473" s="457"/>
      <c r="F473" s="457"/>
    </row>
    <row r="474" spans="2:6" ht="12.75">
      <c r="B474" s="457"/>
      <c r="C474" s="457"/>
      <c r="D474" s="457"/>
      <c r="E474" s="457"/>
      <c r="F474" s="457"/>
    </row>
    <row r="475" spans="2:6" ht="12.75">
      <c r="B475" s="457"/>
      <c r="C475" s="457"/>
      <c r="D475" s="457"/>
      <c r="E475" s="457"/>
      <c r="F475" s="457"/>
    </row>
    <row r="476" spans="2:6" ht="12.75">
      <c r="B476" s="457"/>
      <c r="C476" s="457"/>
      <c r="D476" s="457"/>
      <c r="E476" s="457"/>
      <c r="F476" s="457"/>
    </row>
    <row r="477" spans="2:6" ht="12.75">
      <c r="B477" s="457"/>
      <c r="C477" s="457"/>
      <c r="D477" s="457"/>
      <c r="E477" s="457"/>
      <c r="F477" s="457"/>
    </row>
    <row r="478" spans="2:6" ht="12.75">
      <c r="B478" s="457"/>
      <c r="C478" s="457"/>
      <c r="D478" s="457"/>
      <c r="E478" s="457"/>
      <c r="F478" s="457"/>
    </row>
    <row r="479" spans="2:6" ht="12.75">
      <c r="B479" s="457"/>
      <c r="C479" s="457"/>
      <c r="D479" s="457"/>
      <c r="E479" s="457"/>
      <c r="F479" s="457"/>
    </row>
    <row r="480" spans="2:6" ht="12.75">
      <c r="B480" s="457"/>
      <c r="C480" s="457"/>
      <c r="D480" s="457"/>
      <c r="E480" s="457"/>
      <c r="F480" s="457"/>
    </row>
    <row r="481" spans="2:6" ht="12.75">
      <c r="B481" s="457"/>
      <c r="C481" s="457"/>
      <c r="D481" s="457"/>
      <c r="E481" s="457"/>
      <c r="F481" s="457"/>
    </row>
    <row r="482" spans="2:6" ht="12.75">
      <c r="B482" s="457"/>
      <c r="C482" s="457"/>
      <c r="D482" s="457"/>
      <c r="E482" s="457"/>
      <c r="F482" s="457"/>
    </row>
    <row r="483" spans="2:6" ht="12.75">
      <c r="B483" s="457"/>
      <c r="C483" s="457"/>
      <c r="D483" s="457"/>
      <c r="E483" s="457"/>
      <c r="F483" s="457"/>
    </row>
    <row r="484" spans="2:6" ht="12.75">
      <c r="B484" s="457"/>
      <c r="C484" s="457"/>
      <c r="D484" s="457"/>
      <c r="E484" s="457"/>
      <c r="F484" s="457"/>
    </row>
    <row r="485" spans="2:6" ht="12.75">
      <c r="B485" s="457"/>
      <c r="C485" s="457"/>
      <c r="D485" s="457"/>
      <c r="E485" s="457"/>
      <c r="F485" s="457"/>
    </row>
    <row r="486" spans="2:6" ht="12.75">
      <c r="B486" s="457"/>
      <c r="C486" s="457"/>
      <c r="D486" s="457"/>
      <c r="E486" s="457"/>
      <c r="F486" s="457"/>
    </row>
    <row r="487" spans="2:6" ht="12.75">
      <c r="B487" s="457"/>
      <c r="C487" s="457"/>
      <c r="D487" s="457"/>
      <c r="E487" s="457"/>
      <c r="F487" s="457"/>
    </row>
    <row r="488" spans="2:6" ht="12.75">
      <c r="B488" s="457"/>
      <c r="C488" s="457"/>
      <c r="D488" s="457"/>
      <c r="E488" s="457"/>
      <c r="F488" s="457"/>
    </row>
    <row r="489" spans="2:6" ht="12.75">
      <c r="B489" s="457"/>
      <c r="C489" s="457"/>
      <c r="D489" s="457"/>
      <c r="E489" s="457"/>
      <c r="F489" s="457"/>
    </row>
    <row r="490" spans="2:6" ht="12.75">
      <c r="B490" s="457"/>
      <c r="C490" s="457"/>
      <c r="D490" s="457"/>
      <c r="E490" s="457"/>
      <c r="F490" s="457"/>
    </row>
    <row r="491" spans="2:6" ht="12.75">
      <c r="B491" s="457"/>
      <c r="C491" s="457"/>
      <c r="D491" s="457"/>
      <c r="E491" s="457"/>
      <c r="F491" s="457"/>
    </row>
    <row r="492" spans="2:6" ht="12.75">
      <c r="B492" s="457"/>
      <c r="C492" s="457"/>
      <c r="D492" s="457"/>
      <c r="E492" s="457"/>
      <c r="F492" s="457"/>
    </row>
    <row r="493" spans="2:6" ht="12.75">
      <c r="B493" s="457"/>
      <c r="C493" s="457"/>
      <c r="D493" s="457"/>
      <c r="E493" s="457"/>
      <c r="F493" s="457"/>
    </row>
    <row r="494" spans="2:6" ht="12.75">
      <c r="B494" s="457"/>
      <c r="C494" s="457"/>
      <c r="D494" s="457"/>
      <c r="E494" s="457"/>
      <c r="F494" s="457"/>
    </row>
    <row r="495" spans="2:6" ht="12.75">
      <c r="B495" s="457"/>
      <c r="C495" s="457"/>
      <c r="D495" s="457"/>
      <c r="E495" s="457"/>
      <c r="F495" s="457"/>
    </row>
    <row r="496" spans="2:6" ht="12.75">
      <c r="B496" s="457"/>
      <c r="C496" s="457"/>
      <c r="D496" s="457"/>
      <c r="E496" s="457"/>
      <c r="F496" s="457"/>
    </row>
    <row r="497" spans="2:6" ht="12.75">
      <c r="B497" s="457"/>
      <c r="C497" s="457"/>
      <c r="D497" s="457"/>
      <c r="E497" s="457"/>
      <c r="F497" s="457"/>
    </row>
    <row r="498" spans="2:6" ht="12.75">
      <c r="B498" s="457"/>
      <c r="C498" s="457"/>
      <c r="D498" s="457"/>
      <c r="E498" s="457"/>
      <c r="F498" s="457"/>
    </row>
    <row r="499" spans="2:6" ht="12.75">
      <c r="B499" s="457"/>
      <c r="C499" s="457"/>
      <c r="D499" s="457"/>
      <c r="E499" s="457"/>
      <c r="F499" s="457"/>
    </row>
    <row r="500" spans="2:6" ht="12.75">
      <c r="B500" s="457"/>
      <c r="C500" s="457"/>
      <c r="D500" s="457"/>
      <c r="E500" s="457"/>
      <c r="F500" s="457"/>
    </row>
    <row r="501" spans="2:6" ht="12.75">
      <c r="B501" s="457"/>
      <c r="C501" s="457"/>
      <c r="D501" s="457"/>
      <c r="E501" s="457"/>
      <c r="F501" s="457"/>
    </row>
    <row r="502" spans="2:6" ht="12.75">
      <c r="B502" s="457"/>
      <c r="C502" s="457"/>
      <c r="D502" s="457"/>
      <c r="E502" s="457"/>
      <c r="F502" s="457"/>
    </row>
    <row r="503" spans="2:6" ht="12.75">
      <c r="B503" s="457"/>
      <c r="C503" s="457"/>
      <c r="D503" s="457"/>
      <c r="E503" s="457"/>
      <c r="F503" s="457"/>
    </row>
    <row r="504" spans="2:6" ht="12.75">
      <c r="B504" s="457"/>
      <c r="C504" s="457"/>
      <c r="D504" s="457"/>
      <c r="E504" s="457"/>
      <c r="F504" s="457"/>
    </row>
    <row r="505" spans="2:6" ht="12.75">
      <c r="B505" s="457"/>
      <c r="C505" s="457"/>
      <c r="D505" s="457"/>
      <c r="E505" s="457"/>
      <c r="F505" s="457"/>
    </row>
    <row r="506" spans="2:6" ht="12.75">
      <c r="B506" s="457"/>
      <c r="C506" s="457"/>
      <c r="D506" s="457"/>
      <c r="E506" s="457"/>
      <c r="F506" s="457"/>
    </row>
    <row r="507" spans="2:6" ht="12.75">
      <c r="B507" s="457"/>
      <c r="C507" s="457"/>
      <c r="D507" s="457"/>
      <c r="E507" s="457"/>
      <c r="F507" s="457"/>
    </row>
    <row r="508" spans="2:6" ht="12.75">
      <c r="B508" s="457"/>
      <c r="C508" s="457"/>
      <c r="D508" s="457"/>
      <c r="E508" s="457"/>
      <c r="F508" s="457"/>
    </row>
    <row r="509" spans="2:6" ht="12.75">
      <c r="B509" s="457"/>
      <c r="C509" s="457"/>
      <c r="D509" s="457"/>
      <c r="E509" s="457"/>
      <c r="F509" s="457"/>
    </row>
    <row r="510" spans="2:6" ht="12.75">
      <c r="B510" s="457"/>
      <c r="C510" s="457"/>
      <c r="D510" s="457"/>
      <c r="E510" s="457"/>
      <c r="F510" s="457"/>
    </row>
    <row r="511" spans="2:6" ht="12.75">
      <c r="B511" s="457"/>
      <c r="C511" s="457"/>
      <c r="D511" s="457"/>
      <c r="E511" s="457"/>
      <c r="F511" s="457"/>
    </row>
    <row r="512" spans="2:6" ht="12.75">
      <c r="B512" s="457"/>
      <c r="C512" s="457"/>
      <c r="D512" s="457"/>
      <c r="E512" s="457"/>
      <c r="F512" s="457"/>
    </row>
    <row r="513" spans="2:6" ht="12.75">
      <c r="B513" s="457"/>
      <c r="C513" s="457"/>
      <c r="D513" s="457"/>
      <c r="E513" s="457"/>
      <c r="F513" s="457"/>
    </row>
    <row r="514" spans="2:6" ht="12.75">
      <c r="B514" s="457"/>
      <c r="C514" s="457"/>
      <c r="D514" s="457"/>
      <c r="E514" s="457"/>
      <c r="F514" s="457"/>
    </row>
    <row r="515" spans="2:6" ht="12.75">
      <c r="B515" s="457"/>
      <c r="C515" s="457"/>
      <c r="D515" s="457"/>
      <c r="E515" s="457"/>
      <c r="F515" s="457"/>
    </row>
    <row r="516" spans="2:6" ht="12.75">
      <c r="B516" s="457"/>
      <c r="C516" s="457"/>
      <c r="D516" s="457"/>
      <c r="E516" s="457"/>
      <c r="F516" s="457"/>
    </row>
    <row r="517" spans="2:6" ht="12.75">
      <c r="B517" s="457"/>
      <c r="C517" s="457"/>
      <c r="D517" s="457"/>
      <c r="E517" s="457"/>
      <c r="F517" s="457"/>
    </row>
    <row r="518" spans="2:6" ht="12.75">
      <c r="B518" s="457"/>
      <c r="C518" s="457"/>
      <c r="D518" s="457"/>
      <c r="E518" s="457"/>
      <c r="F518" s="457"/>
    </row>
    <row r="519" spans="2:6" ht="12.75">
      <c r="B519" s="457"/>
      <c r="C519" s="457"/>
      <c r="D519" s="457"/>
      <c r="E519" s="457"/>
      <c r="F519" s="457"/>
    </row>
    <row r="520" spans="2:6" ht="12.75">
      <c r="B520" s="457"/>
      <c r="C520" s="457"/>
      <c r="D520" s="457"/>
      <c r="E520" s="457"/>
      <c r="F520" s="457"/>
    </row>
    <row r="521" spans="2:6" ht="12.75">
      <c r="B521" s="457"/>
      <c r="C521" s="457"/>
      <c r="D521" s="457"/>
      <c r="E521" s="457"/>
      <c r="F521" s="457"/>
    </row>
    <row r="522" spans="2:6" ht="12.75">
      <c r="B522" s="457"/>
      <c r="C522" s="457"/>
      <c r="D522" s="457"/>
      <c r="E522" s="457"/>
      <c r="F522" s="457"/>
    </row>
    <row r="523" spans="2:6" ht="12.75">
      <c r="B523" s="457"/>
      <c r="C523" s="457"/>
      <c r="D523" s="457"/>
      <c r="E523" s="457"/>
      <c r="F523" s="457"/>
    </row>
    <row r="524" spans="2:6" ht="12.75">
      <c r="B524" s="457"/>
      <c r="C524" s="457"/>
      <c r="D524" s="457"/>
      <c r="E524" s="457"/>
      <c r="F524" s="457"/>
    </row>
    <row r="525" spans="2:6" ht="12.75">
      <c r="B525" s="457"/>
      <c r="C525" s="457"/>
      <c r="D525" s="457"/>
      <c r="E525" s="457"/>
      <c r="F525" s="457"/>
    </row>
    <row r="526" spans="2:6" ht="12.75">
      <c r="B526" s="457"/>
      <c r="C526" s="457"/>
      <c r="D526" s="457"/>
      <c r="E526" s="457"/>
      <c r="F526" s="457"/>
    </row>
    <row r="527" spans="2:6" ht="12.75">
      <c r="B527" s="457"/>
      <c r="C527" s="457"/>
      <c r="D527" s="457"/>
      <c r="E527" s="457"/>
      <c r="F527" s="457"/>
    </row>
    <row r="528" spans="2:6" ht="12.75">
      <c r="B528" s="457"/>
      <c r="C528" s="457"/>
      <c r="D528" s="457"/>
      <c r="E528" s="457"/>
      <c r="F528" s="457"/>
    </row>
    <row r="529" spans="2:6" ht="12.75">
      <c r="B529" s="457"/>
      <c r="C529" s="457"/>
      <c r="D529" s="457"/>
      <c r="E529" s="457"/>
      <c r="F529" s="457"/>
    </row>
    <row r="530" spans="2:6" ht="12.75">
      <c r="B530" s="457"/>
      <c r="C530" s="457"/>
      <c r="D530" s="457"/>
      <c r="E530" s="457"/>
      <c r="F530" s="457"/>
    </row>
  </sheetData>
  <sheetProtection/>
  <printOptions horizontalCentered="1"/>
  <pageMargins left="0.3937007874015748" right="0.3937007874015748" top="0.7874015748031497" bottom="0.7874015748031497" header="0.5118110236220472" footer="0.5118110236220472"/>
  <pageSetup fitToHeight="1" fitToWidth="1" horizontalDpi="600" verticalDpi="600" orientation="landscape" paperSize="9" scale="67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88"/>
  <sheetViews>
    <sheetView zoomScale="75" zoomScaleNormal="75" zoomScalePageLayoutView="0" workbookViewId="0" topLeftCell="A1">
      <selection activeCell="A64" sqref="A64"/>
    </sheetView>
  </sheetViews>
  <sheetFormatPr defaultColWidth="9.140625" defaultRowHeight="12.75"/>
  <cols>
    <col min="1" max="1" width="15.8515625" style="325" customWidth="1"/>
    <col min="2" max="3" width="10.57421875" style="325" customWidth="1"/>
    <col min="4" max="4" width="9.8515625" style="325" customWidth="1"/>
    <col min="5" max="5" width="9.28125" style="325" customWidth="1"/>
    <col min="6" max="6" width="69.140625" style="325" customWidth="1"/>
    <col min="7" max="7" width="22.28125" style="325" customWidth="1"/>
    <col min="8" max="8" width="21.00390625" style="325" customWidth="1"/>
    <col min="9" max="9" width="21.140625" style="325" customWidth="1"/>
    <col min="10" max="10" width="15.57421875" style="325" customWidth="1"/>
    <col min="11" max="16384" width="9.140625" style="325" customWidth="1"/>
  </cols>
  <sheetData>
    <row r="1" spans="7:10" ht="15">
      <c r="G1" s="326"/>
      <c r="H1" s="326"/>
      <c r="J1" s="326"/>
    </row>
    <row r="3" spans="1:10" ht="22.5">
      <c r="A3" s="327" t="s">
        <v>779</v>
      </c>
      <c r="B3" s="328"/>
      <c r="C3" s="328"/>
      <c r="D3" s="328"/>
      <c r="E3" s="328"/>
      <c r="F3" s="328"/>
      <c r="G3" s="328"/>
      <c r="H3" s="328"/>
      <c r="I3" s="329"/>
      <c r="J3" s="329"/>
    </row>
    <row r="4" spans="1:9" ht="24.75" customHeight="1">
      <c r="A4" s="327" t="s">
        <v>561</v>
      </c>
      <c r="B4" s="327"/>
      <c r="C4" s="327"/>
      <c r="D4" s="327"/>
      <c r="E4" s="330"/>
      <c r="F4" s="330"/>
      <c r="G4" s="329"/>
      <c r="H4" s="329"/>
      <c r="I4" s="329"/>
    </row>
    <row r="5" spans="2:10" ht="15" thickBot="1">
      <c r="B5" s="331"/>
      <c r="C5" s="331"/>
      <c r="G5" s="332"/>
      <c r="H5" s="332"/>
      <c r="I5" s="326"/>
      <c r="J5" s="333" t="s">
        <v>529</v>
      </c>
    </row>
    <row r="6" spans="1:10" ht="24" customHeight="1">
      <c r="A6" s="334" t="s">
        <v>562</v>
      </c>
      <c r="B6" s="335" t="s">
        <v>563</v>
      </c>
      <c r="C6" s="336"/>
      <c r="D6" s="336"/>
      <c r="E6" s="337"/>
      <c r="F6" s="338" t="s">
        <v>564</v>
      </c>
      <c r="G6" s="338" t="s">
        <v>565</v>
      </c>
      <c r="H6" s="338" t="s">
        <v>566</v>
      </c>
      <c r="I6" s="338" t="s">
        <v>566</v>
      </c>
      <c r="J6" s="338" t="s">
        <v>567</v>
      </c>
    </row>
    <row r="7" spans="1:10" ht="17.25" customHeight="1">
      <c r="A7" s="339" t="s">
        <v>568</v>
      </c>
      <c r="B7" s="340" t="s">
        <v>569</v>
      </c>
      <c r="C7" s="341" t="s">
        <v>570</v>
      </c>
      <c r="D7" s="342" t="s">
        <v>571</v>
      </c>
      <c r="E7" s="343" t="s">
        <v>572</v>
      </c>
      <c r="F7" s="344"/>
      <c r="G7" s="345" t="s">
        <v>573</v>
      </c>
      <c r="H7" s="345" t="s">
        <v>574</v>
      </c>
      <c r="I7" s="345" t="s">
        <v>575</v>
      </c>
      <c r="J7" s="345" t="s">
        <v>576</v>
      </c>
    </row>
    <row r="8" spans="1:10" ht="13.5">
      <c r="A8" s="346" t="s">
        <v>577</v>
      </c>
      <c r="B8" s="347" t="s">
        <v>578</v>
      </c>
      <c r="C8" s="341"/>
      <c r="D8" s="341"/>
      <c r="E8" s="348" t="s">
        <v>579</v>
      </c>
      <c r="F8" s="349"/>
      <c r="G8" s="345" t="s">
        <v>580</v>
      </c>
      <c r="H8" s="350" t="s">
        <v>581</v>
      </c>
      <c r="I8" s="350"/>
      <c r="J8" s="351" t="s">
        <v>582</v>
      </c>
    </row>
    <row r="9" spans="1:10" ht="14.25" thickBot="1">
      <c r="A9" s="346" t="s">
        <v>583</v>
      </c>
      <c r="B9" s="352"/>
      <c r="C9" s="353"/>
      <c r="D9" s="353"/>
      <c r="E9" s="354"/>
      <c r="F9" s="355"/>
      <c r="G9" s="350"/>
      <c r="H9" s="356"/>
      <c r="I9" s="357"/>
      <c r="J9" s="358"/>
    </row>
    <row r="10" spans="1:10" ht="14.25" thickBot="1">
      <c r="A10" s="359" t="s">
        <v>0</v>
      </c>
      <c r="B10" s="360" t="s">
        <v>584</v>
      </c>
      <c r="C10" s="361" t="s">
        <v>585</v>
      </c>
      <c r="D10" s="361" t="s">
        <v>586</v>
      </c>
      <c r="E10" s="362" t="s">
        <v>587</v>
      </c>
      <c r="F10" s="362" t="s">
        <v>588</v>
      </c>
      <c r="G10" s="362">
        <v>1</v>
      </c>
      <c r="H10" s="362">
        <v>2</v>
      </c>
      <c r="I10" s="362">
        <v>3</v>
      </c>
      <c r="J10" s="362">
        <v>4</v>
      </c>
    </row>
    <row r="11" spans="1:10" ht="24.75" customHeight="1">
      <c r="A11" s="363" t="s">
        <v>589</v>
      </c>
      <c r="B11" s="364" t="s">
        <v>590</v>
      </c>
      <c r="C11" s="365"/>
      <c r="D11" s="366"/>
      <c r="E11" s="367"/>
      <c r="F11" s="368" t="s">
        <v>546</v>
      </c>
      <c r="G11" s="369">
        <f>SUM(G12+G20+G21+G78)</f>
        <v>49389467</v>
      </c>
      <c r="H11" s="482">
        <f>SUM(H12+H20+H21+H78)</f>
        <v>11403531</v>
      </c>
      <c r="I11" s="369">
        <f>SUM(I12+I20+I21+I78)</f>
        <v>51113494</v>
      </c>
      <c r="J11" s="370">
        <f aca="true" t="shared" si="0" ref="J11:J17">SUM($I11/G11)*100</f>
        <v>103.49067747582698</v>
      </c>
    </row>
    <row r="12" spans="1:10" ht="18.75" customHeight="1">
      <c r="A12" s="371" t="s">
        <v>589</v>
      </c>
      <c r="B12" s="372"/>
      <c r="C12" s="373" t="s">
        <v>591</v>
      </c>
      <c r="D12" s="373"/>
      <c r="E12" s="374"/>
      <c r="F12" s="375" t="s">
        <v>592</v>
      </c>
      <c r="G12" s="376">
        <f>SUM(G13+G14+G16+G17+G18+G19)</f>
        <v>18614905</v>
      </c>
      <c r="H12" s="376">
        <f>SUM(H13+H14+H16+H17+H18+H19)</f>
        <v>4262911</v>
      </c>
      <c r="I12" s="376">
        <f>SUM(I13+I14+I16+I17+I18+I19)</f>
        <v>18411900</v>
      </c>
      <c r="J12" s="377">
        <f t="shared" si="0"/>
        <v>98.9094491752711</v>
      </c>
    </row>
    <row r="13" spans="1:10" ht="18.75" customHeight="1">
      <c r="A13" s="378" t="s">
        <v>589</v>
      </c>
      <c r="B13" s="372"/>
      <c r="C13" s="373"/>
      <c r="D13" s="379" t="s">
        <v>593</v>
      </c>
      <c r="E13" s="380"/>
      <c r="F13" s="381" t="s">
        <v>594</v>
      </c>
      <c r="G13" s="382">
        <v>14466583</v>
      </c>
      <c r="H13" s="382">
        <v>1775575</v>
      </c>
      <c r="I13" s="382">
        <v>14457911</v>
      </c>
      <c r="J13" s="383">
        <f t="shared" si="0"/>
        <v>99.94005495285238</v>
      </c>
    </row>
    <row r="14" spans="1:10" ht="18.75" customHeight="1">
      <c r="A14" s="378" t="s">
        <v>589</v>
      </c>
      <c r="B14" s="372"/>
      <c r="C14" s="373"/>
      <c r="D14" s="379" t="s">
        <v>595</v>
      </c>
      <c r="E14" s="380"/>
      <c r="F14" s="381" t="s">
        <v>596</v>
      </c>
      <c r="G14" s="382">
        <f>SUM(G15:G15)</f>
        <v>10536</v>
      </c>
      <c r="H14" s="382">
        <f>SUM(H15:H15)</f>
        <v>12245</v>
      </c>
      <c r="I14" s="382">
        <f>SUM(I15:I15)</f>
        <v>106507</v>
      </c>
      <c r="J14" s="383">
        <f t="shared" si="0"/>
        <v>1010.8864844343204</v>
      </c>
    </row>
    <row r="15" spans="1:10" ht="18.75" customHeight="1">
      <c r="A15" s="384" t="s">
        <v>589</v>
      </c>
      <c r="B15" s="385"/>
      <c r="C15" s="386"/>
      <c r="D15" s="387"/>
      <c r="E15" s="388" t="s">
        <v>597</v>
      </c>
      <c r="F15" s="389" t="s">
        <v>598</v>
      </c>
      <c r="G15" s="390">
        <v>10536</v>
      </c>
      <c r="H15" s="390">
        <v>12245</v>
      </c>
      <c r="I15" s="390">
        <v>106507</v>
      </c>
      <c r="J15" s="391">
        <f t="shared" si="0"/>
        <v>1010.8864844343204</v>
      </c>
    </row>
    <row r="16" spans="1:10" ht="18.75" customHeight="1">
      <c r="A16" s="378" t="s">
        <v>589</v>
      </c>
      <c r="B16" s="372"/>
      <c r="C16" s="373"/>
      <c r="D16" s="379" t="s">
        <v>599</v>
      </c>
      <c r="E16" s="380"/>
      <c r="F16" s="381" t="s">
        <v>600</v>
      </c>
      <c r="G16" s="382">
        <v>3360</v>
      </c>
      <c r="H16" s="382">
        <v>238</v>
      </c>
      <c r="I16" s="382">
        <v>2813</v>
      </c>
      <c r="J16" s="383">
        <f t="shared" si="0"/>
        <v>83.7202380952381</v>
      </c>
    </row>
    <row r="17" spans="1:10" ht="18.75" customHeight="1">
      <c r="A17" s="378" t="s">
        <v>589</v>
      </c>
      <c r="B17" s="372"/>
      <c r="C17" s="373"/>
      <c r="D17" s="379" t="s">
        <v>601</v>
      </c>
      <c r="E17" s="380"/>
      <c r="F17" s="381" t="s">
        <v>602</v>
      </c>
      <c r="G17" s="382">
        <v>4134426</v>
      </c>
      <c r="H17" s="382">
        <v>2474853</v>
      </c>
      <c r="I17" s="382">
        <v>3844669</v>
      </c>
      <c r="J17" s="383">
        <f t="shared" si="0"/>
        <v>92.99160270373686</v>
      </c>
    </row>
    <row r="18" spans="1:10" ht="18.75" customHeight="1" hidden="1">
      <c r="A18" s="378"/>
      <c r="B18" s="372"/>
      <c r="C18" s="373"/>
      <c r="D18" s="379" t="s">
        <v>603</v>
      </c>
      <c r="E18" s="380"/>
      <c r="F18" s="381" t="s">
        <v>604</v>
      </c>
      <c r="G18" s="382">
        <v>0</v>
      </c>
      <c r="H18" s="382">
        <v>0</v>
      </c>
      <c r="I18" s="382">
        <v>0</v>
      </c>
      <c r="J18" s="383">
        <v>0</v>
      </c>
    </row>
    <row r="19" spans="1:10" ht="18.75" customHeight="1" hidden="1">
      <c r="A19" s="378"/>
      <c r="B19" s="372"/>
      <c r="C19" s="373"/>
      <c r="D19" s="379" t="s">
        <v>605</v>
      </c>
      <c r="E19" s="380"/>
      <c r="F19" s="381" t="s">
        <v>606</v>
      </c>
      <c r="G19" s="382">
        <v>0</v>
      </c>
      <c r="H19" s="382">
        <v>0</v>
      </c>
      <c r="I19" s="382">
        <v>0</v>
      </c>
      <c r="J19" s="383">
        <v>0</v>
      </c>
    </row>
    <row r="20" spans="1:10" ht="18.75" customHeight="1">
      <c r="A20" s="371" t="s">
        <v>589</v>
      </c>
      <c r="B20" s="392"/>
      <c r="C20" s="393" t="s">
        <v>607</v>
      </c>
      <c r="D20" s="393"/>
      <c r="E20" s="394"/>
      <c r="F20" s="395" t="s">
        <v>608</v>
      </c>
      <c r="G20" s="396">
        <v>7127108</v>
      </c>
      <c r="H20" s="397">
        <f>1584052+3613</f>
        <v>1587665</v>
      </c>
      <c r="I20" s="397">
        <f>7046735+3613</f>
        <v>7050348</v>
      </c>
      <c r="J20" s="377">
        <f aca="true" t="shared" si="1" ref="J20:J55">SUM($I20/G20)*100</f>
        <v>98.9229853118544</v>
      </c>
    </row>
    <row r="21" spans="1:10" ht="18.75" customHeight="1">
      <c r="A21" s="371" t="s">
        <v>589</v>
      </c>
      <c r="B21" s="392"/>
      <c r="C21" s="405" t="s">
        <v>631</v>
      </c>
      <c r="D21" s="393"/>
      <c r="E21" s="406"/>
      <c r="F21" s="395" t="s">
        <v>632</v>
      </c>
      <c r="G21" s="407">
        <f>SUM(G22+G26+G31+G41+G53+G47+G57)</f>
        <v>23115972</v>
      </c>
      <c r="H21" s="483">
        <f>SUM(H22+H26+H31+H41+H53+H47+H57)</f>
        <v>5535392</v>
      </c>
      <c r="I21" s="407">
        <f>SUM(I22+I26+I31+I41+I53+I47+I57)</f>
        <v>25290042</v>
      </c>
      <c r="J21" s="377">
        <f t="shared" si="1"/>
        <v>109.40505551745781</v>
      </c>
    </row>
    <row r="22" spans="1:10" ht="18.75" customHeight="1">
      <c r="A22" s="378" t="s">
        <v>589</v>
      </c>
      <c r="B22" s="408"/>
      <c r="C22" s="409"/>
      <c r="D22" s="379" t="s">
        <v>633</v>
      </c>
      <c r="E22" s="410"/>
      <c r="F22" s="381" t="s">
        <v>634</v>
      </c>
      <c r="G22" s="411">
        <f>SUM(G23:G25)</f>
        <v>65700</v>
      </c>
      <c r="H22" s="411">
        <f>SUM(H23:H25)</f>
        <v>3969</v>
      </c>
      <c r="I22" s="411">
        <f>SUM(I23:I25)</f>
        <v>81948</v>
      </c>
      <c r="J22" s="383">
        <f t="shared" si="1"/>
        <v>124.73059360730593</v>
      </c>
    </row>
    <row r="23" spans="1:10" ht="18.75" customHeight="1">
      <c r="A23" s="384" t="s">
        <v>589</v>
      </c>
      <c r="B23" s="408"/>
      <c r="C23" s="412"/>
      <c r="D23" s="413"/>
      <c r="E23" s="414">
        <v>631001</v>
      </c>
      <c r="F23" s="415" t="s">
        <v>635</v>
      </c>
      <c r="G23" s="416">
        <v>35000</v>
      </c>
      <c r="H23" s="416">
        <f>3153+188</f>
        <v>3341</v>
      </c>
      <c r="I23" s="416">
        <f>58572+188</f>
        <v>58760</v>
      </c>
      <c r="J23" s="391">
        <f t="shared" si="1"/>
        <v>167.88571428571427</v>
      </c>
    </row>
    <row r="24" spans="1:10" ht="18.75" customHeight="1">
      <c r="A24" s="384" t="s">
        <v>589</v>
      </c>
      <c r="B24" s="408"/>
      <c r="C24" s="412"/>
      <c r="D24" s="413"/>
      <c r="E24" s="414">
        <v>631002</v>
      </c>
      <c r="F24" s="415" t="s">
        <v>636</v>
      </c>
      <c r="G24" s="416">
        <v>30000</v>
      </c>
      <c r="H24" s="416">
        <v>628</v>
      </c>
      <c r="I24" s="416">
        <v>23188</v>
      </c>
      <c r="J24" s="391">
        <f t="shared" si="1"/>
        <v>77.29333333333334</v>
      </c>
    </row>
    <row r="25" spans="1:10" ht="18.75" customHeight="1">
      <c r="A25" s="384" t="s">
        <v>589</v>
      </c>
      <c r="B25" s="408"/>
      <c r="C25" s="412"/>
      <c r="D25" s="413"/>
      <c r="E25" s="414">
        <v>631004</v>
      </c>
      <c r="F25" s="415" t="s">
        <v>637</v>
      </c>
      <c r="G25" s="416">
        <v>700</v>
      </c>
      <c r="H25" s="416">
        <v>0</v>
      </c>
      <c r="I25" s="416">
        <v>0</v>
      </c>
      <c r="J25" s="391">
        <f t="shared" si="1"/>
        <v>0</v>
      </c>
    </row>
    <row r="26" spans="1:10" ht="18.75" customHeight="1">
      <c r="A26" s="378" t="s">
        <v>589</v>
      </c>
      <c r="B26" s="408"/>
      <c r="C26" s="409"/>
      <c r="D26" s="379" t="s">
        <v>638</v>
      </c>
      <c r="E26" s="410"/>
      <c r="F26" s="381" t="s">
        <v>639</v>
      </c>
      <c r="G26" s="411">
        <f>SUM(G27:G30)</f>
        <v>9172163</v>
      </c>
      <c r="H26" s="411">
        <f>SUM(H27:H30)</f>
        <v>1528923</v>
      </c>
      <c r="I26" s="411">
        <f>SUM(I27:I30)</f>
        <v>8663051</v>
      </c>
      <c r="J26" s="383">
        <f t="shared" si="1"/>
        <v>94.4493790614057</v>
      </c>
    </row>
    <row r="27" spans="1:10" ht="18.75" customHeight="1">
      <c r="A27" s="384" t="s">
        <v>589</v>
      </c>
      <c r="B27" s="408"/>
      <c r="C27" s="409"/>
      <c r="D27" s="417"/>
      <c r="E27" s="418">
        <v>632001</v>
      </c>
      <c r="F27" s="419" t="s">
        <v>640</v>
      </c>
      <c r="G27" s="416">
        <v>551075</v>
      </c>
      <c r="H27" s="416">
        <f>67941+24173</f>
        <v>92114</v>
      </c>
      <c r="I27" s="416">
        <f>563743+24173</f>
        <v>587916</v>
      </c>
      <c r="J27" s="391">
        <f t="shared" si="1"/>
        <v>106.68529691965702</v>
      </c>
    </row>
    <row r="28" spans="1:10" ht="18.75" customHeight="1">
      <c r="A28" s="384" t="s">
        <v>589</v>
      </c>
      <c r="B28" s="408"/>
      <c r="C28" s="409"/>
      <c r="D28" s="417"/>
      <c r="E28" s="418">
        <v>632002</v>
      </c>
      <c r="F28" s="419" t="s">
        <v>641</v>
      </c>
      <c r="G28" s="416">
        <v>60030</v>
      </c>
      <c r="H28" s="416">
        <f>5002+620</f>
        <v>5622</v>
      </c>
      <c r="I28" s="416">
        <f>60507+620</f>
        <v>61127</v>
      </c>
      <c r="J28" s="391">
        <f t="shared" si="1"/>
        <v>101.82741962352158</v>
      </c>
    </row>
    <row r="29" spans="1:10" ht="18.75" customHeight="1">
      <c r="A29" s="384" t="s">
        <v>589</v>
      </c>
      <c r="B29" s="408"/>
      <c r="C29" s="409"/>
      <c r="D29" s="417"/>
      <c r="E29" s="418">
        <v>632003</v>
      </c>
      <c r="F29" s="420" t="s">
        <v>642</v>
      </c>
      <c r="G29" s="416">
        <v>6641058</v>
      </c>
      <c r="H29" s="416">
        <f>1071791+66475</f>
        <v>1138266</v>
      </c>
      <c r="I29" s="416">
        <f>6176560+66475</f>
        <v>6243035</v>
      </c>
      <c r="J29" s="391">
        <f t="shared" si="1"/>
        <v>94.0066326781064</v>
      </c>
    </row>
    <row r="30" spans="1:10" ht="18.75" customHeight="1">
      <c r="A30" s="384" t="s">
        <v>589</v>
      </c>
      <c r="B30" s="408"/>
      <c r="C30" s="409"/>
      <c r="D30" s="417"/>
      <c r="E30" s="418">
        <v>632004</v>
      </c>
      <c r="F30" s="420" t="s">
        <v>643</v>
      </c>
      <c r="G30" s="416">
        <v>1920000</v>
      </c>
      <c r="H30" s="416">
        <f>288860+4061</f>
        <v>292921</v>
      </c>
      <c r="I30" s="416">
        <f>1766912+4061</f>
        <v>1770973</v>
      </c>
      <c r="J30" s="391">
        <f t="shared" si="1"/>
        <v>92.23817708333333</v>
      </c>
    </row>
    <row r="31" spans="1:10" ht="18.75" customHeight="1">
      <c r="A31" s="378" t="s">
        <v>589</v>
      </c>
      <c r="B31" s="408"/>
      <c r="C31" s="409"/>
      <c r="D31" s="379" t="s">
        <v>644</v>
      </c>
      <c r="E31" s="410"/>
      <c r="F31" s="381" t="s">
        <v>645</v>
      </c>
      <c r="G31" s="411">
        <f>SUM(G32:G40)</f>
        <v>780633</v>
      </c>
      <c r="H31" s="411">
        <f>SUM(H32:H40)</f>
        <v>255228</v>
      </c>
      <c r="I31" s="411">
        <f>SUM(I32:I40)</f>
        <v>922555</v>
      </c>
      <c r="J31" s="383">
        <f t="shared" si="1"/>
        <v>118.18037413227471</v>
      </c>
    </row>
    <row r="32" spans="1:10" ht="18.75" customHeight="1">
      <c r="A32" s="384" t="s">
        <v>589</v>
      </c>
      <c r="B32" s="408"/>
      <c r="C32" s="409"/>
      <c r="D32" s="421"/>
      <c r="E32" s="422" t="s">
        <v>646</v>
      </c>
      <c r="F32" s="423" t="s">
        <v>647</v>
      </c>
      <c r="G32" s="424">
        <v>23300</v>
      </c>
      <c r="H32" s="424">
        <v>16623</v>
      </c>
      <c r="I32" s="424">
        <v>106123</v>
      </c>
      <c r="J32" s="391">
        <f t="shared" si="1"/>
        <v>455.46351931330474</v>
      </c>
    </row>
    <row r="33" spans="1:10" ht="18.75" customHeight="1">
      <c r="A33" s="384" t="s">
        <v>589</v>
      </c>
      <c r="B33" s="408"/>
      <c r="C33" s="409"/>
      <c r="D33" s="421"/>
      <c r="E33" s="422" t="s">
        <v>648</v>
      </c>
      <c r="F33" s="423" t="s">
        <v>649</v>
      </c>
      <c r="G33" s="424">
        <v>170000</v>
      </c>
      <c r="H33" s="424">
        <v>0</v>
      </c>
      <c r="I33" s="424">
        <v>11595</v>
      </c>
      <c r="J33" s="391">
        <f t="shared" si="1"/>
        <v>6.820588235294117</v>
      </c>
    </row>
    <row r="34" spans="1:10" ht="18.75" customHeight="1">
      <c r="A34" s="384" t="s">
        <v>589</v>
      </c>
      <c r="B34" s="408"/>
      <c r="C34" s="409"/>
      <c r="D34" s="421"/>
      <c r="E34" s="422" t="s">
        <v>650</v>
      </c>
      <c r="F34" s="423" t="s">
        <v>651</v>
      </c>
      <c r="G34" s="424">
        <v>1000</v>
      </c>
      <c r="H34" s="424">
        <v>14</v>
      </c>
      <c r="I34" s="424">
        <v>677</v>
      </c>
      <c r="J34" s="391">
        <f t="shared" si="1"/>
        <v>67.7</v>
      </c>
    </row>
    <row r="35" spans="1:10" ht="18.75" customHeight="1">
      <c r="A35" s="384" t="s">
        <v>589</v>
      </c>
      <c r="B35" s="408"/>
      <c r="C35" s="409"/>
      <c r="D35" s="421"/>
      <c r="E35" s="422" t="s">
        <v>652</v>
      </c>
      <c r="F35" s="423" t="s">
        <v>653</v>
      </c>
      <c r="G35" s="424">
        <v>17452</v>
      </c>
      <c r="H35" s="424">
        <v>347</v>
      </c>
      <c r="I35" s="424">
        <v>62784</v>
      </c>
      <c r="J35" s="391">
        <f t="shared" si="1"/>
        <v>359.75246390098556</v>
      </c>
    </row>
    <row r="36" spans="1:10" ht="18.75" customHeight="1">
      <c r="A36" s="384" t="s">
        <v>589</v>
      </c>
      <c r="B36" s="408"/>
      <c r="C36" s="409"/>
      <c r="D36" s="421"/>
      <c r="E36" s="422" t="s">
        <v>654</v>
      </c>
      <c r="F36" s="423" t="s">
        <v>655</v>
      </c>
      <c r="G36" s="424">
        <v>491929</v>
      </c>
      <c r="H36" s="424">
        <f>218718+1628</f>
        <v>220346</v>
      </c>
      <c r="I36" s="424">
        <f>694833+1628</f>
        <v>696461</v>
      </c>
      <c r="J36" s="391">
        <f t="shared" si="1"/>
        <v>141.57754472698295</v>
      </c>
    </row>
    <row r="37" spans="1:10" ht="18.75" customHeight="1">
      <c r="A37" s="384" t="s">
        <v>589</v>
      </c>
      <c r="B37" s="408"/>
      <c r="C37" s="409"/>
      <c r="D37" s="421"/>
      <c r="E37" s="422" t="s">
        <v>656</v>
      </c>
      <c r="F37" s="423" t="s">
        <v>657</v>
      </c>
      <c r="G37" s="424">
        <v>15830</v>
      </c>
      <c r="H37" s="424">
        <f>698+7036</f>
        <v>7734</v>
      </c>
      <c r="I37" s="424">
        <f>2152+7036</f>
        <v>9188</v>
      </c>
      <c r="J37" s="391">
        <f t="shared" si="1"/>
        <v>58.04169298799747</v>
      </c>
    </row>
    <row r="38" spans="1:10" ht="18.75" customHeight="1">
      <c r="A38" s="384" t="s">
        <v>589</v>
      </c>
      <c r="B38" s="408"/>
      <c r="C38" s="409"/>
      <c r="D38" s="421"/>
      <c r="E38" s="422" t="s">
        <v>658</v>
      </c>
      <c r="F38" s="423" t="s">
        <v>659</v>
      </c>
      <c r="G38" s="424">
        <v>5622</v>
      </c>
      <c r="H38" s="424">
        <v>641</v>
      </c>
      <c r="I38" s="424">
        <v>5480</v>
      </c>
      <c r="J38" s="391">
        <f t="shared" si="1"/>
        <v>97.4742084667378</v>
      </c>
    </row>
    <row r="39" spans="1:10" ht="18.75" customHeight="1">
      <c r="A39" s="384" t="s">
        <v>589</v>
      </c>
      <c r="B39" s="408"/>
      <c r="C39" s="409"/>
      <c r="D39" s="421"/>
      <c r="E39" s="422" t="s">
        <v>660</v>
      </c>
      <c r="F39" s="423" t="s">
        <v>661</v>
      </c>
      <c r="G39" s="424">
        <v>35000</v>
      </c>
      <c r="H39" s="424">
        <v>4877</v>
      </c>
      <c r="I39" s="424">
        <v>7794</v>
      </c>
      <c r="J39" s="391">
        <f t="shared" si="1"/>
        <v>22.26857142857143</v>
      </c>
    </row>
    <row r="40" spans="1:10" ht="18.75" customHeight="1">
      <c r="A40" s="384" t="s">
        <v>589</v>
      </c>
      <c r="B40" s="408"/>
      <c r="C40" s="409"/>
      <c r="D40" s="421"/>
      <c r="E40" s="422" t="s">
        <v>662</v>
      </c>
      <c r="F40" s="423" t="s">
        <v>663</v>
      </c>
      <c r="G40" s="424">
        <v>20500</v>
      </c>
      <c r="H40" s="424">
        <f>4146+500</f>
        <v>4646</v>
      </c>
      <c r="I40" s="424">
        <f>21953+500</f>
        <v>22453</v>
      </c>
      <c r="J40" s="391">
        <f t="shared" si="1"/>
        <v>109.52682926829269</v>
      </c>
    </row>
    <row r="41" spans="1:10" ht="18.75" customHeight="1">
      <c r="A41" s="378" t="s">
        <v>589</v>
      </c>
      <c r="B41" s="408"/>
      <c r="C41" s="409"/>
      <c r="D41" s="379" t="s">
        <v>664</v>
      </c>
      <c r="E41" s="410"/>
      <c r="F41" s="381" t="s">
        <v>665</v>
      </c>
      <c r="G41" s="411">
        <f>SUM(G42:G46)</f>
        <v>122934</v>
      </c>
      <c r="H41" s="411">
        <f>SUM(H42:H46)</f>
        <v>14544</v>
      </c>
      <c r="I41" s="411">
        <f>SUM(I42:I46)</f>
        <v>113902</v>
      </c>
      <c r="J41" s="383">
        <f t="shared" si="1"/>
        <v>92.65296825939122</v>
      </c>
    </row>
    <row r="42" spans="1:10" ht="18.75" customHeight="1">
      <c r="A42" s="384" t="s">
        <v>589</v>
      </c>
      <c r="B42" s="408"/>
      <c r="C42" s="409"/>
      <c r="D42" s="417"/>
      <c r="E42" s="418">
        <v>634001</v>
      </c>
      <c r="F42" s="425" t="s">
        <v>666</v>
      </c>
      <c r="G42" s="416">
        <v>68167</v>
      </c>
      <c r="H42" s="416">
        <f>7600+28</f>
        <v>7628</v>
      </c>
      <c r="I42" s="416">
        <f>68128+28</f>
        <v>68156</v>
      </c>
      <c r="J42" s="391">
        <f t="shared" si="1"/>
        <v>99.98386315959335</v>
      </c>
    </row>
    <row r="43" spans="1:10" ht="18.75" customHeight="1">
      <c r="A43" s="384" t="s">
        <v>589</v>
      </c>
      <c r="B43" s="408"/>
      <c r="C43" s="409"/>
      <c r="D43" s="417"/>
      <c r="E43" s="418">
        <v>634002</v>
      </c>
      <c r="F43" s="425" t="s">
        <v>667</v>
      </c>
      <c r="G43" s="416">
        <v>28911</v>
      </c>
      <c r="H43" s="416">
        <v>3147</v>
      </c>
      <c r="I43" s="416">
        <v>27698</v>
      </c>
      <c r="J43" s="391">
        <f t="shared" si="1"/>
        <v>95.80436512054236</v>
      </c>
    </row>
    <row r="44" spans="1:10" ht="18.75" customHeight="1">
      <c r="A44" s="384" t="s">
        <v>589</v>
      </c>
      <c r="B44" s="408"/>
      <c r="C44" s="409"/>
      <c r="D44" s="426"/>
      <c r="E44" s="427" t="s">
        <v>668</v>
      </c>
      <c r="F44" s="423" t="s">
        <v>669</v>
      </c>
      <c r="G44" s="416">
        <v>4156</v>
      </c>
      <c r="H44" s="416">
        <v>0</v>
      </c>
      <c r="I44" s="416">
        <v>3501</v>
      </c>
      <c r="J44" s="391">
        <f t="shared" si="1"/>
        <v>84.23965351299326</v>
      </c>
    </row>
    <row r="45" spans="1:10" ht="18.75" customHeight="1">
      <c r="A45" s="384" t="s">
        <v>589</v>
      </c>
      <c r="B45" s="408"/>
      <c r="C45" s="409"/>
      <c r="D45" s="426"/>
      <c r="E45" s="418">
        <v>634004</v>
      </c>
      <c r="F45" s="428" t="s">
        <v>670</v>
      </c>
      <c r="G45" s="416">
        <v>20000</v>
      </c>
      <c r="H45" s="416">
        <v>3769</v>
      </c>
      <c r="I45" s="416">
        <v>13220</v>
      </c>
      <c r="J45" s="391">
        <f t="shared" si="1"/>
        <v>66.10000000000001</v>
      </c>
    </row>
    <row r="46" spans="1:10" ht="18.75" customHeight="1">
      <c r="A46" s="384" t="s">
        <v>589</v>
      </c>
      <c r="B46" s="408"/>
      <c r="C46" s="409"/>
      <c r="D46" s="426"/>
      <c r="E46" s="418">
        <v>634005</v>
      </c>
      <c r="F46" s="428" t="s">
        <v>671</v>
      </c>
      <c r="G46" s="416">
        <v>1700</v>
      </c>
      <c r="H46" s="416">
        <v>0</v>
      </c>
      <c r="I46" s="416">
        <v>1327</v>
      </c>
      <c r="J46" s="391">
        <f t="shared" si="1"/>
        <v>78.05882352941177</v>
      </c>
    </row>
    <row r="47" spans="1:10" ht="18.75" customHeight="1">
      <c r="A47" s="378" t="s">
        <v>589</v>
      </c>
      <c r="B47" s="408"/>
      <c r="C47" s="409"/>
      <c r="D47" s="379" t="s">
        <v>672</v>
      </c>
      <c r="E47" s="429"/>
      <c r="F47" s="381" t="s">
        <v>673</v>
      </c>
      <c r="G47" s="411">
        <f>SUM(G48:G52)</f>
        <v>9603391</v>
      </c>
      <c r="H47" s="411">
        <f>SUM(H48:H52)</f>
        <v>3006783</v>
      </c>
      <c r="I47" s="411">
        <f>SUM(I48:I52)</f>
        <v>11213121</v>
      </c>
      <c r="J47" s="383">
        <f t="shared" si="1"/>
        <v>116.76209997072908</v>
      </c>
    </row>
    <row r="48" spans="1:10" ht="18.75" customHeight="1">
      <c r="A48" s="384" t="s">
        <v>589</v>
      </c>
      <c r="B48" s="408"/>
      <c r="C48" s="409"/>
      <c r="D48" s="417"/>
      <c r="E48" s="418">
        <v>635001</v>
      </c>
      <c r="F48" s="428" t="s">
        <v>674</v>
      </c>
      <c r="G48" s="416">
        <v>16500</v>
      </c>
      <c r="H48" s="416">
        <v>8630</v>
      </c>
      <c r="I48" s="416">
        <v>22886</v>
      </c>
      <c r="J48" s="430">
        <f t="shared" si="1"/>
        <v>138.70303030303032</v>
      </c>
    </row>
    <row r="49" spans="1:10" ht="18.75" customHeight="1">
      <c r="A49" s="384" t="s">
        <v>589</v>
      </c>
      <c r="B49" s="408"/>
      <c r="C49" s="409"/>
      <c r="D49" s="417"/>
      <c r="E49" s="418">
        <v>635002</v>
      </c>
      <c r="F49" s="428" t="s">
        <v>675</v>
      </c>
      <c r="G49" s="416">
        <v>9399640</v>
      </c>
      <c r="H49" s="416">
        <f>2812367+168909</f>
        <v>2981276</v>
      </c>
      <c r="I49" s="416">
        <f>10912463+168909</f>
        <v>11081372</v>
      </c>
      <c r="J49" s="430">
        <f t="shared" si="1"/>
        <v>117.89145116195941</v>
      </c>
    </row>
    <row r="50" spans="1:10" ht="18.75" customHeight="1">
      <c r="A50" s="384" t="s">
        <v>589</v>
      </c>
      <c r="B50" s="408"/>
      <c r="C50" s="409"/>
      <c r="D50" s="417"/>
      <c r="E50" s="418">
        <v>635003</v>
      </c>
      <c r="F50" s="428" t="s">
        <v>676</v>
      </c>
      <c r="G50" s="416">
        <v>6100</v>
      </c>
      <c r="H50" s="416">
        <v>344</v>
      </c>
      <c r="I50" s="416">
        <v>1432</v>
      </c>
      <c r="J50" s="430">
        <f t="shared" si="1"/>
        <v>23.475409836065573</v>
      </c>
    </row>
    <row r="51" spans="1:10" ht="18.75" customHeight="1">
      <c r="A51" s="384" t="s">
        <v>589</v>
      </c>
      <c r="B51" s="408"/>
      <c r="C51" s="409"/>
      <c r="D51" s="417"/>
      <c r="E51" s="418">
        <v>635004</v>
      </c>
      <c r="F51" s="428" t="s">
        <v>677</v>
      </c>
      <c r="G51" s="416">
        <v>103690</v>
      </c>
      <c r="H51" s="416">
        <v>9524</v>
      </c>
      <c r="I51" s="416">
        <v>46013</v>
      </c>
      <c r="J51" s="430">
        <f t="shared" si="1"/>
        <v>44.37554248239946</v>
      </c>
    </row>
    <row r="52" spans="1:10" ht="18.75" customHeight="1">
      <c r="A52" s="384" t="s">
        <v>589</v>
      </c>
      <c r="B52" s="408"/>
      <c r="C52" s="409"/>
      <c r="D52" s="417"/>
      <c r="E52" s="418">
        <v>635006</v>
      </c>
      <c r="F52" s="425" t="s">
        <v>678</v>
      </c>
      <c r="G52" s="416">
        <v>77461</v>
      </c>
      <c r="H52" s="416">
        <v>7009</v>
      </c>
      <c r="I52" s="416">
        <v>61418</v>
      </c>
      <c r="J52" s="430">
        <f t="shared" si="1"/>
        <v>79.28893249506204</v>
      </c>
    </row>
    <row r="53" spans="1:10" ht="18.75" customHeight="1">
      <c r="A53" s="378" t="s">
        <v>589</v>
      </c>
      <c r="B53" s="408"/>
      <c r="C53" s="409"/>
      <c r="D53" s="379" t="s">
        <v>679</v>
      </c>
      <c r="E53" s="410"/>
      <c r="F53" s="381" t="s">
        <v>680</v>
      </c>
      <c r="G53" s="411">
        <f>SUM(G54:G56)</f>
        <v>543628</v>
      </c>
      <c r="H53" s="411">
        <f>SUM(H54:H56)</f>
        <v>68770</v>
      </c>
      <c r="I53" s="411">
        <f>SUM(I54:I56)</f>
        <v>533634</v>
      </c>
      <c r="J53" s="383">
        <f t="shared" si="1"/>
        <v>98.16161051307144</v>
      </c>
    </row>
    <row r="54" spans="1:10" ht="18.75" customHeight="1">
      <c r="A54" s="384" t="s">
        <v>589</v>
      </c>
      <c r="B54" s="408"/>
      <c r="C54" s="409"/>
      <c r="D54" s="431"/>
      <c r="E54" s="418">
        <v>636001</v>
      </c>
      <c r="F54" s="432" t="s">
        <v>681</v>
      </c>
      <c r="G54" s="416">
        <v>541000</v>
      </c>
      <c r="H54" s="416">
        <f>66415+2172</f>
        <v>68587</v>
      </c>
      <c r="I54" s="416">
        <f>530040+2172</f>
        <v>532212</v>
      </c>
      <c r="J54" s="391">
        <f t="shared" si="1"/>
        <v>98.37560073937154</v>
      </c>
    </row>
    <row r="55" spans="1:10" ht="18" customHeight="1">
      <c r="A55" s="384" t="s">
        <v>589</v>
      </c>
      <c r="B55" s="408"/>
      <c r="C55" s="409"/>
      <c r="D55" s="431"/>
      <c r="E55" s="418">
        <v>636002</v>
      </c>
      <c r="F55" s="432" t="s">
        <v>682</v>
      </c>
      <c r="G55" s="416">
        <v>2628</v>
      </c>
      <c r="H55" s="416">
        <v>183</v>
      </c>
      <c r="I55" s="416">
        <v>1422</v>
      </c>
      <c r="J55" s="391">
        <f t="shared" si="1"/>
        <v>54.109589041095894</v>
      </c>
    </row>
    <row r="56" spans="1:10" s="441" customFormat="1" ht="21" customHeight="1" hidden="1">
      <c r="A56" s="433" t="s">
        <v>589</v>
      </c>
      <c r="B56" s="434"/>
      <c r="C56" s="435"/>
      <c r="D56" s="436"/>
      <c r="E56" s="437">
        <v>636005</v>
      </c>
      <c r="F56" s="438" t="s">
        <v>683</v>
      </c>
      <c r="G56" s="439">
        <v>0</v>
      </c>
      <c r="H56" s="416">
        <v>0</v>
      </c>
      <c r="I56" s="416">
        <v>0</v>
      </c>
      <c r="J56" s="440">
        <v>0</v>
      </c>
    </row>
    <row r="57" spans="1:10" ht="18.75" customHeight="1">
      <c r="A57" s="378" t="s">
        <v>589</v>
      </c>
      <c r="B57" s="408"/>
      <c r="C57" s="409"/>
      <c r="D57" s="379" t="s">
        <v>684</v>
      </c>
      <c r="E57" s="410"/>
      <c r="F57" s="381" t="s">
        <v>685</v>
      </c>
      <c r="G57" s="411">
        <f>SUM(G58:G77)</f>
        <v>2827523</v>
      </c>
      <c r="H57" s="411">
        <f>SUM(H58:H77)</f>
        <v>657175</v>
      </c>
      <c r="I57" s="411">
        <f>SUM(I58:I77)</f>
        <v>3761831</v>
      </c>
      <c r="J57" s="383">
        <f aca="true" t="shared" si="2" ref="J57:J72">SUM($I57/G57)*100</f>
        <v>133.04333863950885</v>
      </c>
    </row>
    <row r="58" spans="1:10" ht="18.75" customHeight="1">
      <c r="A58" s="384" t="s">
        <v>589</v>
      </c>
      <c r="B58" s="408"/>
      <c r="C58" s="409"/>
      <c r="D58" s="421"/>
      <c r="E58" s="422" t="s">
        <v>686</v>
      </c>
      <c r="F58" s="423" t="s">
        <v>687</v>
      </c>
      <c r="G58" s="416">
        <v>60100</v>
      </c>
      <c r="H58" s="416">
        <v>1875</v>
      </c>
      <c r="I58" s="416">
        <v>30661</v>
      </c>
      <c r="J58" s="430">
        <f t="shared" si="2"/>
        <v>51.01663893510815</v>
      </c>
    </row>
    <row r="59" spans="1:10" ht="18.75" customHeight="1">
      <c r="A59" s="384" t="s">
        <v>589</v>
      </c>
      <c r="B59" s="408"/>
      <c r="C59" s="409"/>
      <c r="D59" s="421"/>
      <c r="E59" s="422" t="s">
        <v>688</v>
      </c>
      <c r="F59" s="423" t="s">
        <v>689</v>
      </c>
      <c r="G59" s="416">
        <v>4250</v>
      </c>
      <c r="H59" s="416">
        <f>686+500</f>
        <v>1186</v>
      </c>
      <c r="I59" s="416">
        <f>5949+500</f>
        <v>6449</v>
      </c>
      <c r="J59" s="430">
        <f t="shared" si="2"/>
        <v>151.74117647058824</v>
      </c>
    </row>
    <row r="60" spans="1:10" ht="18.75" customHeight="1">
      <c r="A60" s="384" t="s">
        <v>589</v>
      </c>
      <c r="B60" s="408"/>
      <c r="C60" s="409"/>
      <c r="D60" s="421"/>
      <c r="E60" s="422" t="s">
        <v>690</v>
      </c>
      <c r="F60" s="423" t="s">
        <v>691</v>
      </c>
      <c r="G60" s="416">
        <v>486203</v>
      </c>
      <c r="H60" s="416">
        <f>110401+4776</f>
        <v>115177</v>
      </c>
      <c r="I60" s="416">
        <f>479878+4776</f>
        <v>484654</v>
      </c>
      <c r="J60" s="430">
        <f t="shared" si="2"/>
        <v>99.68140879426906</v>
      </c>
    </row>
    <row r="61" spans="1:10" ht="18.75" customHeight="1">
      <c r="A61" s="384" t="s">
        <v>589</v>
      </c>
      <c r="B61" s="408"/>
      <c r="C61" s="409"/>
      <c r="D61" s="421"/>
      <c r="E61" s="422" t="s">
        <v>692</v>
      </c>
      <c r="F61" s="423" t="s">
        <v>693</v>
      </c>
      <c r="G61" s="416">
        <v>285037</v>
      </c>
      <c r="H61" s="416">
        <f>46921+840</f>
        <v>47761</v>
      </c>
      <c r="I61" s="416">
        <f>297534+840</f>
        <v>298374</v>
      </c>
      <c r="J61" s="430">
        <f t="shared" si="2"/>
        <v>104.67904166827464</v>
      </c>
    </row>
    <row r="62" spans="1:10" ht="18.75" customHeight="1">
      <c r="A62" s="384" t="s">
        <v>589</v>
      </c>
      <c r="B62" s="408"/>
      <c r="C62" s="409"/>
      <c r="D62" s="421"/>
      <c r="E62" s="422" t="s">
        <v>694</v>
      </c>
      <c r="F62" s="423" t="s">
        <v>634</v>
      </c>
      <c r="G62" s="416">
        <v>300</v>
      </c>
      <c r="H62" s="416">
        <v>0</v>
      </c>
      <c r="I62" s="416">
        <v>25</v>
      </c>
      <c r="J62" s="430">
        <f t="shared" si="2"/>
        <v>8.333333333333332</v>
      </c>
    </row>
    <row r="63" spans="1:10" s="447" customFormat="1" ht="18" customHeight="1" hidden="1">
      <c r="A63" s="442" t="s">
        <v>589</v>
      </c>
      <c r="B63" s="443"/>
      <c r="C63" s="409"/>
      <c r="D63" s="444"/>
      <c r="E63" s="445" t="s">
        <v>695</v>
      </c>
      <c r="F63" s="446" t="s">
        <v>696</v>
      </c>
      <c r="G63" s="416">
        <v>0</v>
      </c>
      <c r="H63" s="416"/>
      <c r="I63" s="416"/>
      <c r="J63" s="430" t="e">
        <f t="shared" si="2"/>
        <v>#DIV/0!</v>
      </c>
    </row>
    <row r="64" spans="1:10" ht="18.75" customHeight="1">
      <c r="A64" s="384" t="s">
        <v>589</v>
      </c>
      <c r="B64" s="408"/>
      <c r="C64" s="409"/>
      <c r="D64" s="421"/>
      <c r="E64" s="422" t="s">
        <v>697</v>
      </c>
      <c r="F64" s="423" t="s">
        <v>698</v>
      </c>
      <c r="G64" s="416">
        <v>1719</v>
      </c>
      <c r="H64" s="416">
        <v>3684</v>
      </c>
      <c r="I64" s="416">
        <v>21888</v>
      </c>
      <c r="J64" s="430">
        <f t="shared" si="2"/>
        <v>1273.2984293193717</v>
      </c>
    </row>
    <row r="65" spans="1:10" ht="18.75" customHeight="1">
      <c r="A65" s="384" t="s">
        <v>589</v>
      </c>
      <c r="B65" s="408"/>
      <c r="C65" s="409"/>
      <c r="D65" s="421"/>
      <c r="E65" s="422" t="s">
        <v>699</v>
      </c>
      <c r="F65" s="423" t="s">
        <v>700</v>
      </c>
      <c r="G65" s="416">
        <v>1008220</v>
      </c>
      <c r="H65" s="416">
        <f>73697+30527</f>
        <v>104224</v>
      </c>
      <c r="I65" s="416">
        <f>1072489+30527</f>
        <v>1103016</v>
      </c>
      <c r="J65" s="430">
        <f t="shared" si="2"/>
        <v>109.40231298724485</v>
      </c>
    </row>
    <row r="66" spans="1:10" ht="18.75" customHeight="1">
      <c r="A66" s="384" t="s">
        <v>589</v>
      </c>
      <c r="B66" s="408"/>
      <c r="C66" s="409"/>
      <c r="D66" s="421"/>
      <c r="E66" s="422" t="s">
        <v>701</v>
      </c>
      <c r="F66" s="423" t="s">
        <v>702</v>
      </c>
      <c r="G66" s="416">
        <v>470000</v>
      </c>
      <c r="H66" s="416">
        <f>37576+43530</f>
        <v>81106</v>
      </c>
      <c r="I66" s="416">
        <f>376606+43530</f>
        <v>420136</v>
      </c>
      <c r="J66" s="430">
        <f t="shared" si="2"/>
        <v>89.39063829787234</v>
      </c>
    </row>
    <row r="67" spans="1:10" ht="18.75" customHeight="1">
      <c r="A67" s="384" t="s">
        <v>589</v>
      </c>
      <c r="B67" s="408"/>
      <c r="C67" s="409"/>
      <c r="D67" s="421"/>
      <c r="E67" s="422" t="s">
        <v>703</v>
      </c>
      <c r="F67" s="423" t="s">
        <v>704</v>
      </c>
      <c r="G67" s="416">
        <v>58000</v>
      </c>
      <c r="H67" s="416">
        <v>-46</v>
      </c>
      <c r="I67" s="416">
        <v>12585</v>
      </c>
      <c r="J67" s="430">
        <f t="shared" si="2"/>
        <v>21.698275862068968</v>
      </c>
    </row>
    <row r="68" spans="1:10" ht="18.75" customHeight="1">
      <c r="A68" s="384" t="s">
        <v>589</v>
      </c>
      <c r="B68" s="408"/>
      <c r="C68" s="409"/>
      <c r="D68" s="421"/>
      <c r="E68" s="422" t="s">
        <v>705</v>
      </c>
      <c r="F68" s="423" t="s">
        <v>706</v>
      </c>
      <c r="G68" s="416">
        <v>190698</v>
      </c>
      <c r="H68" s="448">
        <v>41113</v>
      </c>
      <c r="I68" s="448">
        <v>213653</v>
      </c>
      <c r="J68" s="430">
        <f t="shared" si="2"/>
        <v>112.03735749719452</v>
      </c>
    </row>
    <row r="69" spans="1:10" s="441" customFormat="1" ht="18.75" customHeight="1" hidden="1">
      <c r="A69" s="433" t="s">
        <v>589</v>
      </c>
      <c r="B69" s="434"/>
      <c r="C69" s="435"/>
      <c r="D69" s="484"/>
      <c r="E69" s="485" t="s">
        <v>780</v>
      </c>
      <c r="F69" s="486" t="s">
        <v>781</v>
      </c>
      <c r="G69" s="439">
        <v>0</v>
      </c>
      <c r="H69" s="439"/>
      <c r="I69" s="439"/>
      <c r="J69" s="430" t="e">
        <f t="shared" si="2"/>
        <v>#DIV/0!</v>
      </c>
    </row>
    <row r="70" spans="1:10" ht="18.75" customHeight="1">
      <c r="A70" s="384" t="s">
        <v>589</v>
      </c>
      <c r="B70" s="408"/>
      <c r="C70" s="409"/>
      <c r="D70" s="421"/>
      <c r="E70" s="422" t="s">
        <v>707</v>
      </c>
      <c r="F70" s="423" t="s">
        <v>708</v>
      </c>
      <c r="G70" s="416">
        <v>2700</v>
      </c>
      <c r="H70" s="416">
        <v>2457</v>
      </c>
      <c r="I70" s="416">
        <v>5500</v>
      </c>
      <c r="J70" s="430">
        <f t="shared" si="2"/>
        <v>203.70370370370372</v>
      </c>
    </row>
    <row r="71" spans="1:10" ht="18.75" customHeight="1">
      <c r="A71" s="384" t="s">
        <v>589</v>
      </c>
      <c r="B71" s="408"/>
      <c r="C71" s="409"/>
      <c r="D71" s="421"/>
      <c r="E71" s="422" t="s">
        <v>709</v>
      </c>
      <c r="F71" s="423" t="s">
        <v>710</v>
      </c>
      <c r="G71" s="416">
        <v>82800</v>
      </c>
      <c r="H71" s="416">
        <v>21361</v>
      </c>
      <c r="I71" s="416">
        <v>81851</v>
      </c>
      <c r="J71" s="430">
        <f t="shared" si="2"/>
        <v>98.8538647342995</v>
      </c>
    </row>
    <row r="72" spans="1:10" ht="18.75" customHeight="1">
      <c r="A72" s="384" t="s">
        <v>589</v>
      </c>
      <c r="B72" s="408"/>
      <c r="C72" s="409"/>
      <c r="D72" s="421"/>
      <c r="E72" s="422" t="s">
        <v>711</v>
      </c>
      <c r="F72" s="423" t="s">
        <v>712</v>
      </c>
      <c r="G72" s="416">
        <v>95000</v>
      </c>
      <c r="H72" s="416">
        <v>5781</v>
      </c>
      <c r="I72" s="416">
        <v>54512</v>
      </c>
      <c r="J72" s="430">
        <f t="shared" si="2"/>
        <v>57.381052631578946</v>
      </c>
    </row>
    <row r="73" spans="1:10" ht="18.75" customHeight="1">
      <c r="A73" s="384" t="s">
        <v>713</v>
      </c>
      <c r="B73" s="408"/>
      <c r="C73" s="409"/>
      <c r="D73" s="421"/>
      <c r="E73" s="422" t="s">
        <v>714</v>
      </c>
      <c r="F73" s="423" t="s">
        <v>715</v>
      </c>
      <c r="G73" s="416">
        <v>0</v>
      </c>
      <c r="H73" s="416">
        <v>24304</v>
      </c>
      <c r="I73" s="416">
        <v>26348</v>
      </c>
      <c r="J73" s="430">
        <v>0</v>
      </c>
    </row>
    <row r="74" spans="1:10" ht="20.25" customHeight="1">
      <c r="A74" s="384" t="s">
        <v>589</v>
      </c>
      <c r="B74" s="408"/>
      <c r="C74" s="409"/>
      <c r="D74" s="421"/>
      <c r="E74" s="422" t="s">
        <v>716</v>
      </c>
      <c r="F74" s="423" t="s">
        <v>717</v>
      </c>
      <c r="G74" s="416">
        <v>50000</v>
      </c>
      <c r="H74" s="416">
        <v>-10</v>
      </c>
      <c r="I74" s="416">
        <v>57533</v>
      </c>
      <c r="J74" s="430">
        <f>SUM($I74/G74)*100</f>
        <v>115.066</v>
      </c>
    </row>
    <row r="75" spans="1:10" s="441" customFormat="1" ht="18.75" customHeight="1" hidden="1">
      <c r="A75" s="433" t="s">
        <v>589</v>
      </c>
      <c r="B75" s="434"/>
      <c r="C75" s="435"/>
      <c r="D75" s="484"/>
      <c r="E75" s="485" t="s">
        <v>782</v>
      </c>
      <c r="F75" s="486" t="s">
        <v>783</v>
      </c>
      <c r="G75" s="439">
        <v>0</v>
      </c>
      <c r="H75" s="439"/>
      <c r="I75" s="439"/>
      <c r="J75" s="430" t="e">
        <f>SUM($I75/G75)*100</f>
        <v>#DIV/0!</v>
      </c>
    </row>
    <row r="76" spans="1:10" ht="18.75" customHeight="1">
      <c r="A76" s="384" t="s">
        <v>589</v>
      </c>
      <c r="B76" s="408"/>
      <c r="C76" s="409"/>
      <c r="D76" s="421"/>
      <c r="E76" s="422" t="s">
        <v>718</v>
      </c>
      <c r="F76" s="423" t="s">
        <v>719</v>
      </c>
      <c r="G76" s="416">
        <v>0</v>
      </c>
      <c r="H76" s="416">
        <v>207673</v>
      </c>
      <c r="I76" s="416">
        <v>906125</v>
      </c>
      <c r="J76" s="430">
        <v>0</v>
      </c>
    </row>
    <row r="77" spans="1:10" ht="18.75" customHeight="1">
      <c r="A77" s="384" t="s">
        <v>589</v>
      </c>
      <c r="B77" s="408"/>
      <c r="C77" s="409"/>
      <c r="D77" s="421"/>
      <c r="E77" s="422" t="s">
        <v>720</v>
      </c>
      <c r="F77" s="423" t="s">
        <v>721</v>
      </c>
      <c r="G77" s="416">
        <v>32496</v>
      </c>
      <c r="H77" s="416">
        <v>-471</v>
      </c>
      <c r="I77" s="416">
        <v>38521</v>
      </c>
      <c r="J77" s="430">
        <f aca="true" t="shared" si="3" ref="J77:J86">SUM($I77/G77)*100</f>
        <v>118.54074347612014</v>
      </c>
    </row>
    <row r="78" spans="1:10" ht="18.75" customHeight="1">
      <c r="A78" s="371" t="s">
        <v>589</v>
      </c>
      <c r="B78" s="392"/>
      <c r="C78" s="405" t="s">
        <v>722</v>
      </c>
      <c r="D78" s="393"/>
      <c r="E78" s="406"/>
      <c r="F78" s="395" t="s">
        <v>723</v>
      </c>
      <c r="G78" s="449">
        <f>SUM(G79+G85)</f>
        <v>531482</v>
      </c>
      <c r="H78" s="449">
        <f>SUM(H79+H85)</f>
        <v>17563</v>
      </c>
      <c r="I78" s="449">
        <f>SUM(I79+I85)</f>
        <v>361204</v>
      </c>
      <c r="J78" s="377">
        <f t="shared" si="3"/>
        <v>67.96166191893612</v>
      </c>
    </row>
    <row r="79" spans="1:10" ht="18.75" customHeight="1">
      <c r="A79" s="378" t="s">
        <v>589</v>
      </c>
      <c r="B79" s="408"/>
      <c r="C79" s="409"/>
      <c r="D79" s="379" t="s">
        <v>724</v>
      </c>
      <c r="E79" s="410"/>
      <c r="F79" s="381" t="s">
        <v>725</v>
      </c>
      <c r="G79" s="411">
        <f>SUM(G80:G84)</f>
        <v>491162</v>
      </c>
      <c r="H79" s="411">
        <f>SUM(H80:H84)</f>
        <v>17563</v>
      </c>
      <c r="I79" s="411">
        <f>SUM(I80:I84)</f>
        <v>326547</v>
      </c>
      <c r="J79" s="383">
        <f t="shared" si="3"/>
        <v>66.48458146192091</v>
      </c>
    </row>
    <row r="80" spans="1:10" ht="18.75" customHeight="1">
      <c r="A80" s="384" t="s">
        <v>589</v>
      </c>
      <c r="B80" s="408"/>
      <c r="C80" s="409"/>
      <c r="D80" s="421"/>
      <c r="E80" s="422" t="s">
        <v>726</v>
      </c>
      <c r="F80" s="423" t="s">
        <v>727</v>
      </c>
      <c r="G80" s="416">
        <v>325018</v>
      </c>
      <c r="H80" s="448">
        <v>10222</v>
      </c>
      <c r="I80" s="448">
        <v>185582</v>
      </c>
      <c r="J80" s="391">
        <f t="shared" si="3"/>
        <v>57.098991440474066</v>
      </c>
    </row>
    <row r="81" spans="1:10" ht="18.75" customHeight="1">
      <c r="A81" s="384" t="s">
        <v>589</v>
      </c>
      <c r="B81" s="408"/>
      <c r="C81" s="409"/>
      <c r="D81" s="421"/>
      <c r="E81" s="422" t="s">
        <v>728</v>
      </c>
      <c r="F81" s="423" t="s">
        <v>729</v>
      </c>
      <c r="G81" s="416">
        <v>57020</v>
      </c>
      <c r="H81" s="448">
        <v>0</v>
      </c>
      <c r="I81" s="448">
        <v>44202</v>
      </c>
      <c r="J81" s="391">
        <f t="shared" si="3"/>
        <v>77.52016836197825</v>
      </c>
    </row>
    <row r="82" spans="1:10" ht="18.75" customHeight="1">
      <c r="A82" s="384" t="s">
        <v>589</v>
      </c>
      <c r="B82" s="408"/>
      <c r="C82" s="409"/>
      <c r="D82" s="421"/>
      <c r="E82" s="422" t="s">
        <v>730</v>
      </c>
      <c r="F82" s="423" t="s">
        <v>731</v>
      </c>
      <c r="G82" s="416">
        <v>11000</v>
      </c>
      <c r="H82" s="448">
        <v>627</v>
      </c>
      <c r="I82" s="448">
        <v>7776</v>
      </c>
      <c r="J82" s="391">
        <f t="shared" si="3"/>
        <v>70.69090909090909</v>
      </c>
    </row>
    <row r="83" spans="1:10" ht="18.75" customHeight="1">
      <c r="A83" s="384" t="s">
        <v>589</v>
      </c>
      <c r="B83" s="408"/>
      <c r="C83" s="409"/>
      <c r="D83" s="421"/>
      <c r="E83" s="422" t="s">
        <v>732</v>
      </c>
      <c r="F83" s="423" t="s">
        <v>733</v>
      </c>
      <c r="G83" s="416">
        <v>98124</v>
      </c>
      <c r="H83" s="448">
        <v>6714</v>
      </c>
      <c r="I83" s="448">
        <v>88987</v>
      </c>
      <c r="J83" s="391">
        <f t="shared" si="3"/>
        <v>90.68831274713628</v>
      </c>
    </row>
    <row r="84" spans="1:10" ht="18.75" customHeight="1" hidden="1">
      <c r="A84" s="384" t="s">
        <v>589</v>
      </c>
      <c r="B84" s="408"/>
      <c r="C84" s="409"/>
      <c r="D84" s="421"/>
      <c r="E84" s="422" t="s">
        <v>734</v>
      </c>
      <c r="F84" s="423" t="s">
        <v>735</v>
      </c>
      <c r="G84" s="416">
        <v>0</v>
      </c>
      <c r="H84" s="416">
        <v>0</v>
      </c>
      <c r="I84" s="416">
        <v>0</v>
      </c>
      <c r="J84" s="391" t="e">
        <f t="shared" si="3"/>
        <v>#DIV/0!</v>
      </c>
    </row>
    <row r="85" spans="1:10" ht="18.75" customHeight="1">
      <c r="A85" s="378" t="s">
        <v>589</v>
      </c>
      <c r="B85" s="408"/>
      <c r="C85" s="409"/>
      <c r="D85" s="379" t="s">
        <v>736</v>
      </c>
      <c r="E85" s="422"/>
      <c r="F85" s="381" t="s">
        <v>737</v>
      </c>
      <c r="G85" s="411">
        <f>SUM(G86)</f>
        <v>40320</v>
      </c>
      <c r="H85" s="411">
        <f>SUM(H86)</f>
        <v>0</v>
      </c>
      <c r="I85" s="411">
        <f>SUM(I86)</f>
        <v>34657</v>
      </c>
      <c r="J85" s="383">
        <f t="shared" si="3"/>
        <v>85.95486111111111</v>
      </c>
    </row>
    <row r="86" spans="1:10" ht="18.75" customHeight="1">
      <c r="A86" s="384" t="s">
        <v>589</v>
      </c>
      <c r="B86" s="408"/>
      <c r="C86" s="409"/>
      <c r="D86" s="421"/>
      <c r="E86" s="422" t="s">
        <v>738</v>
      </c>
      <c r="F86" s="423" t="s">
        <v>739</v>
      </c>
      <c r="G86" s="416">
        <v>40320</v>
      </c>
      <c r="H86" s="416">
        <v>0</v>
      </c>
      <c r="I86" s="416">
        <v>34657</v>
      </c>
      <c r="J86" s="391">
        <f t="shared" si="3"/>
        <v>85.95486111111111</v>
      </c>
    </row>
    <row r="87" spans="1:10" ht="14.25" thickBot="1">
      <c r="A87" s="450"/>
      <c r="B87" s="451"/>
      <c r="C87" s="452"/>
      <c r="D87" s="452"/>
      <c r="E87" s="453"/>
      <c r="F87" s="454"/>
      <c r="G87" s="455"/>
      <c r="H87" s="455"/>
      <c r="I87" s="455"/>
      <c r="J87" s="456"/>
    </row>
    <row r="88" spans="2:6" ht="12.75">
      <c r="B88" s="457"/>
      <c r="C88" s="457"/>
      <c r="D88" s="457"/>
      <c r="E88" s="457"/>
      <c r="F88" s="457"/>
    </row>
    <row r="89" spans="2:6" ht="12.75">
      <c r="B89" s="457"/>
      <c r="C89" s="457"/>
      <c r="D89" s="457"/>
      <c r="E89" s="457"/>
      <c r="F89" s="457"/>
    </row>
    <row r="90" spans="2:6" ht="12.75">
      <c r="B90" s="457"/>
      <c r="C90" s="457"/>
      <c r="D90" s="457"/>
      <c r="E90" s="457"/>
      <c r="F90" s="457"/>
    </row>
    <row r="91" spans="2:6" ht="12.75">
      <c r="B91" s="457"/>
      <c r="C91" s="457"/>
      <c r="D91" s="457"/>
      <c r="E91" s="457"/>
      <c r="F91" s="457"/>
    </row>
    <row r="92" spans="2:6" ht="12.75">
      <c r="B92" s="457"/>
      <c r="C92" s="457"/>
      <c r="D92" s="457"/>
      <c r="E92" s="457"/>
      <c r="F92" s="457"/>
    </row>
    <row r="93" spans="2:6" ht="12.75">
      <c r="B93" s="457"/>
      <c r="C93" s="457"/>
      <c r="D93" s="457"/>
      <c r="E93" s="457"/>
      <c r="F93" s="457"/>
    </row>
    <row r="94" spans="2:6" ht="12.75">
      <c r="B94" s="457"/>
      <c r="C94" s="457"/>
      <c r="D94" s="457"/>
      <c r="E94" s="457"/>
      <c r="F94" s="457"/>
    </row>
    <row r="95" spans="2:6" ht="12.75">
      <c r="B95" s="457"/>
      <c r="C95" s="457"/>
      <c r="D95" s="457"/>
      <c r="E95" s="457"/>
      <c r="F95" s="457"/>
    </row>
    <row r="96" spans="2:6" ht="12.75">
      <c r="B96" s="457"/>
      <c r="C96" s="457"/>
      <c r="D96" s="457"/>
      <c r="E96" s="457"/>
      <c r="F96" s="457"/>
    </row>
    <row r="97" spans="2:6" ht="12.75">
      <c r="B97" s="457"/>
      <c r="C97" s="457"/>
      <c r="D97" s="457"/>
      <c r="E97" s="457"/>
      <c r="F97" s="457"/>
    </row>
    <row r="98" spans="2:6" ht="12.75">
      <c r="B98" s="457"/>
      <c r="C98" s="457"/>
      <c r="D98" s="457"/>
      <c r="E98" s="457"/>
      <c r="F98" s="457"/>
    </row>
    <row r="99" spans="2:6" ht="12.75">
      <c r="B99" s="457"/>
      <c r="C99" s="457"/>
      <c r="D99" s="457"/>
      <c r="E99" s="457"/>
      <c r="F99" s="457"/>
    </row>
    <row r="100" spans="2:6" ht="12.75">
      <c r="B100" s="457"/>
      <c r="C100" s="457"/>
      <c r="D100" s="457"/>
      <c r="E100" s="457"/>
      <c r="F100" s="457"/>
    </row>
    <row r="101" spans="2:6" ht="12.75">
      <c r="B101" s="457"/>
      <c r="C101" s="457"/>
      <c r="D101" s="457"/>
      <c r="E101" s="457"/>
      <c r="F101" s="457"/>
    </row>
    <row r="102" spans="2:6" ht="12.75">
      <c r="B102" s="457"/>
      <c r="C102" s="457"/>
      <c r="D102" s="457"/>
      <c r="E102" s="457"/>
      <c r="F102" s="457"/>
    </row>
    <row r="103" spans="2:6" ht="12.75">
      <c r="B103" s="457"/>
      <c r="C103" s="457"/>
      <c r="D103" s="457"/>
      <c r="E103" s="457"/>
      <c r="F103" s="457"/>
    </row>
    <row r="104" spans="2:6" ht="12.75">
      <c r="B104" s="457"/>
      <c r="C104" s="457"/>
      <c r="D104" s="457"/>
      <c r="E104" s="457"/>
      <c r="F104" s="457"/>
    </row>
    <row r="105" spans="2:6" ht="12.75">
      <c r="B105" s="457"/>
      <c r="C105" s="457"/>
      <c r="D105" s="457"/>
      <c r="E105" s="457"/>
      <c r="F105" s="457"/>
    </row>
    <row r="106" spans="2:6" ht="12.75">
      <c r="B106" s="457"/>
      <c r="C106" s="457"/>
      <c r="D106" s="457"/>
      <c r="E106" s="457"/>
      <c r="F106" s="457"/>
    </row>
    <row r="107" spans="2:6" ht="12.75">
      <c r="B107" s="457"/>
      <c r="C107" s="457"/>
      <c r="D107" s="457"/>
      <c r="E107" s="457"/>
      <c r="F107" s="457"/>
    </row>
    <row r="108" spans="2:6" ht="12.75">
      <c r="B108" s="457"/>
      <c r="C108" s="457"/>
      <c r="D108" s="457"/>
      <c r="E108" s="457"/>
      <c r="F108" s="457"/>
    </row>
    <row r="109" spans="2:6" ht="12.75">
      <c r="B109" s="457"/>
      <c r="C109" s="457"/>
      <c r="D109" s="457"/>
      <c r="E109" s="457"/>
      <c r="F109" s="457"/>
    </row>
    <row r="110" spans="2:6" ht="12.75">
      <c r="B110" s="457"/>
      <c r="C110" s="457"/>
      <c r="D110" s="457"/>
      <c r="E110" s="457"/>
      <c r="F110" s="457"/>
    </row>
    <row r="111" spans="2:6" ht="12.75">
      <c r="B111" s="457"/>
      <c r="C111" s="457"/>
      <c r="D111" s="457"/>
      <c r="E111" s="457"/>
      <c r="F111" s="457"/>
    </row>
    <row r="112" spans="2:6" ht="12.75">
      <c r="B112" s="457"/>
      <c r="C112" s="457"/>
      <c r="D112" s="457"/>
      <c r="E112" s="457"/>
      <c r="F112" s="457"/>
    </row>
    <row r="113" spans="2:6" ht="12.75">
      <c r="B113" s="457"/>
      <c r="C113" s="457"/>
      <c r="D113" s="457"/>
      <c r="E113" s="457"/>
      <c r="F113" s="457"/>
    </row>
    <row r="114" spans="2:6" ht="12.75">
      <c r="B114" s="457"/>
      <c r="C114" s="457"/>
      <c r="D114" s="457"/>
      <c r="E114" s="457"/>
      <c r="F114" s="457"/>
    </row>
    <row r="115" spans="2:6" ht="12.75">
      <c r="B115" s="457"/>
      <c r="C115" s="457"/>
      <c r="D115" s="457"/>
      <c r="E115" s="457"/>
      <c r="F115" s="457"/>
    </row>
    <row r="116" spans="2:6" ht="12.75">
      <c r="B116" s="457"/>
      <c r="C116" s="457"/>
      <c r="D116" s="457"/>
      <c r="E116" s="457"/>
      <c r="F116" s="457"/>
    </row>
    <row r="117" spans="2:6" ht="12.75">
      <c r="B117" s="457"/>
      <c r="C117" s="457"/>
      <c r="D117" s="457"/>
      <c r="E117" s="457"/>
      <c r="F117" s="457"/>
    </row>
    <row r="118" spans="2:6" ht="12.75">
      <c r="B118" s="457"/>
      <c r="C118" s="457"/>
      <c r="D118" s="457"/>
      <c r="E118" s="457"/>
      <c r="F118" s="457"/>
    </row>
    <row r="119" spans="2:6" ht="12.75">
      <c r="B119" s="457"/>
      <c r="C119" s="457"/>
      <c r="D119" s="457"/>
      <c r="E119" s="457"/>
      <c r="F119" s="457"/>
    </row>
    <row r="120" spans="2:6" ht="12.75">
      <c r="B120" s="457"/>
      <c r="C120" s="457"/>
      <c r="D120" s="457"/>
      <c r="E120" s="457"/>
      <c r="F120" s="457"/>
    </row>
    <row r="121" spans="2:6" ht="12.75">
      <c r="B121" s="457"/>
      <c r="C121" s="457"/>
      <c r="D121" s="457"/>
      <c r="E121" s="457"/>
      <c r="F121" s="457"/>
    </row>
    <row r="122" spans="2:6" ht="12.75">
      <c r="B122" s="457"/>
      <c r="C122" s="457"/>
      <c r="D122" s="457"/>
      <c r="E122" s="457"/>
      <c r="F122" s="457"/>
    </row>
    <row r="123" spans="2:6" ht="12.75">
      <c r="B123" s="457"/>
      <c r="C123" s="457"/>
      <c r="D123" s="457"/>
      <c r="E123" s="457"/>
      <c r="F123" s="457"/>
    </row>
    <row r="124" spans="2:6" ht="12.75">
      <c r="B124" s="457"/>
      <c r="C124" s="457"/>
      <c r="D124" s="457"/>
      <c r="E124" s="457"/>
      <c r="F124" s="457"/>
    </row>
    <row r="125" spans="2:6" ht="12.75">
      <c r="B125" s="457"/>
      <c r="C125" s="457"/>
      <c r="D125" s="457"/>
      <c r="E125" s="457"/>
      <c r="F125" s="457"/>
    </row>
    <row r="126" spans="2:6" ht="12.75">
      <c r="B126" s="457"/>
      <c r="C126" s="457"/>
      <c r="D126" s="457"/>
      <c r="E126" s="457"/>
      <c r="F126" s="457"/>
    </row>
    <row r="127" spans="2:6" ht="12.75">
      <c r="B127" s="457"/>
      <c r="C127" s="457"/>
      <c r="D127" s="457"/>
      <c r="E127" s="457"/>
      <c r="F127" s="457"/>
    </row>
    <row r="128" spans="2:6" ht="12.75">
      <c r="B128" s="457"/>
      <c r="C128" s="457"/>
      <c r="D128" s="457"/>
      <c r="E128" s="457"/>
      <c r="F128" s="457"/>
    </row>
    <row r="129" spans="2:6" ht="12.75">
      <c r="B129" s="457"/>
      <c r="C129" s="457"/>
      <c r="D129" s="457"/>
      <c r="E129" s="457"/>
      <c r="F129" s="457"/>
    </row>
    <row r="130" spans="2:6" ht="12.75">
      <c r="B130" s="457"/>
      <c r="C130" s="457"/>
      <c r="D130" s="457"/>
      <c r="E130" s="457"/>
      <c r="F130" s="457"/>
    </row>
    <row r="131" spans="2:6" ht="12.75">
      <c r="B131" s="457"/>
      <c r="C131" s="457"/>
      <c r="D131" s="457"/>
      <c r="E131" s="457"/>
      <c r="F131" s="457"/>
    </row>
    <row r="132" spans="2:6" ht="12.75">
      <c r="B132" s="457"/>
      <c r="C132" s="457"/>
      <c r="D132" s="457"/>
      <c r="E132" s="457"/>
      <c r="F132" s="457"/>
    </row>
    <row r="133" spans="2:6" ht="12.75">
      <c r="B133" s="457"/>
      <c r="C133" s="457"/>
      <c r="D133" s="457"/>
      <c r="E133" s="457"/>
      <c r="F133" s="457"/>
    </row>
    <row r="134" spans="2:6" ht="12.75">
      <c r="B134" s="457"/>
      <c r="C134" s="457"/>
      <c r="D134" s="457"/>
      <c r="E134" s="457"/>
      <c r="F134" s="457"/>
    </row>
    <row r="135" spans="2:6" ht="12.75">
      <c r="B135" s="457"/>
      <c r="C135" s="457"/>
      <c r="D135" s="457"/>
      <c r="E135" s="457"/>
      <c r="F135" s="457"/>
    </row>
    <row r="136" spans="2:6" ht="12.75">
      <c r="B136" s="457"/>
      <c r="C136" s="457"/>
      <c r="D136" s="457"/>
      <c r="E136" s="457"/>
      <c r="F136" s="457"/>
    </row>
    <row r="137" spans="2:6" ht="12.75">
      <c r="B137" s="457"/>
      <c r="C137" s="457"/>
      <c r="D137" s="457"/>
      <c r="E137" s="457"/>
      <c r="F137" s="457"/>
    </row>
    <row r="138" spans="2:6" ht="12.75">
      <c r="B138" s="457"/>
      <c r="C138" s="457"/>
      <c r="D138" s="457"/>
      <c r="E138" s="457"/>
      <c r="F138" s="457"/>
    </row>
    <row r="139" spans="2:6" ht="12.75">
      <c r="B139" s="457"/>
      <c r="C139" s="457"/>
      <c r="D139" s="457"/>
      <c r="E139" s="457"/>
      <c r="F139" s="457"/>
    </row>
    <row r="140" spans="2:6" ht="12.75">
      <c r="B140" s="457"/>
      <c r="C140" s="457"/>
      <c r="D140" s="457"/>
      <c r="E140" s="457"/>
      <c r="F140" s="457"/>
    </row>
    <row r="141" spans="2:6" ht="12.75">
      <c r="B141" s="457"/>
      <c r="C141" s="457"/>
      <c r="D141" s="457"/>
      <c r="E141" s="457"/>
      <c r="F141" s="457"/>
    </row>
    <row r="142" spans="2:6" ht="12.75">
      <c r="B142" s="457"/>
      <c r="C142" s="457"/>
      <c r="D142" s="457"/>
      <c r="E142" s="457"/>
      <c r="F142" s="457"/>
    </row>
    <row r="143" spans="2:6" ht="12.75">
      <c r="B143" s="457"/>
      <c r="C143" s="457"/>
      <c r="D143" s="457"/>
      <c r="E143" s="457"/>
      <c r="F143" s="457"/>
    </row>
    <row r="144" spans="2:6" ht="12.75">
      <c r="B144" s="457"/>
      <c r="C144" s="457"/>
      <c r="D144" s="457"/>
      <c r="E144" s="457"/>
      <c r="F144" s="457"/>
    </row>
    <row r="145" spans="2:6" ht="12.75">
      <c r="B145" s="457"/>
      <c r="C145" s="457"/>
      <c r="D145" s="457"/>
      <c r="E145" s="457"/>
      <c r="F145" s="457"/>
    </row>
    <row r="146" spans="2:6" ht="12.75">
      <c r="B146" s="457"/>
      <c r="C146" s="457"/>
      <c r="D146" s="457"/>
      <c r="E146" s="457"/>
      <c r="F146" s="457"/>
    </row>
    <row r="147" spans="2:6" ht="12.75">
      <c r="B147" s="457"/>
      <c r="C147" s="457"/>
      <c r="D147" s="457"/>
      <c r="E147" s="457"/>
      <c r="F147" s="457"/>
    </row>
    <row r="148" spans="2:6" ht="12.75">
      <c r="B148" s="457"/>
      <c r="C148" s="457"/>
      <c r="D148" s="457"/>
      <c r="E148" s="457"/>
      <c r="F148" s="457"/>
    </row>
    <row r="149" spans="2:6" ht="12.75">
      <c r="B149" s="457"/>
      <c r="C149" s="457"/>
      <c r="D149" s="457"/>
      <c r="E149" s="457"/>
      <c r="F149" s="457"/>
    </row>
    <row r="150" spans="2:6" ht="12.75">
      <c r="B150" s="457"/>
      <c r="C150" s="457"/>
      <c r="D150" s="457"/>
      <c r="E150" s="457"/>
      <c r="F150" s="457"/>
    </row>
    <row r="151" spans="2:6" ht="12.75">
      <c r="B151" s="457"/>
      <c r="C151" s="457"/>
      <c r="D151" s="457"/>
      <c r="E151" s="457"/>
      <c r="F151" s="457"/>
    </row>
    <row r="152" spans="2:6" ht="12.75">
      <c r="B152" s="457"/>
      <c r="C152" s="457"/>
      <c r="D152" s="457"/>
      <c r="E152" s="457"/>
      <c r="F152" s="457"/>
    </row>
    <row r="153" spans="2:6" ht="12.75">
      <c r="B153" s="457"/>
      <c r="C153" s="457"/>
      <c r="D153" s="457"/>
      <c r="E153" s="457"/>
      <c r="F153" s="457"/>
    </row>
    <row r="154" spans="2:6" ht="12.75">
      <c r="B154" s="457"/>
      <c r="C154" s="457"/>
      <c r="D154" s="457"/>
      <c r="E154" s="457"/>
      <c r="F154" s="457"/>
    </row>
    <row r="155" spans="2:6" ht="12.75">
      <c r="B155" s="457"/>
      <c r="C155" s="457"/>
      <c r="D155" s="457"/>
      <c r="E155" s="457"/>
      <c r="F155" s="457"/>
    </row>
    <row r="156" spans="2:6" ht="12.75">
      <c r="B156" s="457"/>
      <c r="C156" s="457"/>
      <c r="D156" s="457"/>
      <c r="E156" s="457"/>
      <c r="F156" s="457"/>
    </row>
    <row r="157" spans="2:6" ht="12.75">
      <c r="B157" s="457"/>
      <c r="C157" s="457"/>
      <c r="D157" s="457"/>
      <c r="E157" s="457"/>
      <c r="F157" s="457"/>
    </row>
    <row r="158" spans="2:6" ht="12.75">
      <c r="B158" s="457"/>
      <c r="C158" s="457"/>
      <c r="D158" s="457"/>
      <c r="E158" s="457"/>
      <c r="F158" s="457"/>
    </row>
    <row r="159" spans="2:6" ht="12.75">
      <c r="B159" s="457"/>
      <c r="C159" s="457"/>
      <c r="D159" s="457"/>
      <c r="E159" s="457"/>
      <c r="F159" s="457"/>
    </row>
    <row r="160" spans="2:6" ht="12.75">
      <c r="B160" s="457"/>
      <c r="C160" s="457"/>
      <c r="D160" s="457"/>
      <c r="E160" s="457"/>
      <c r="F160" s="457"/>
    </row>
    <row r="161" spans="2:6" ht="12.75">
      <c r="B161" s="457"/>
      <c r="C161" s="457"/>
      <c r="D161" s="457"/>
      <c r="E161" s="457"/>
      <c r="F161" s="457"/>
    </row>
    <row r="162" spans="2:6" ht="12.75">
      <c r="B162" s="457"/>
      <c r="C162" s="457"/>
      <c r="D162" s="457"/>
      <c r="E162" s="457"/>
      <c r="F162" s="457"/>
    </row>
    <row r="163" spans="2:6" ht="12.75">
      <c r="B163" s="457"/>
      <c r="C163" s="457"/>
      <c r="D163" s="457"/>
      <c r="E163" s="457"/>
      <c r="F163" s="457"/>
    </row>
    <row r="164" spans="2:6" ht="12.75">
      <c r="B164" s="457"/>
      <c r="C164" s="457"/>
      <c r="D164" s="457"/>
      <c r="E164" s="457"/>
      <c r="F164" s="457"/>
    </row>
    <row r="165" spans="2:6" ht="12.75">
      <c r="B165" s="457"/>
      <c r="C165" s="457"/>
      <c r="D165" s="457"/>
      <c r="E165" s="457"/>
      <c r="F165" s="457"/>
    </row>
    <row r="166" spans="2:6" ht="12.75">
      <c r="B166" s="457"/>
      <c r="C166" s="457"/>
      <c r="D166" s="457"/>
      <c r="E166" s="457"/>
      <c r="F166" s="457"/>
    </row>
    <row r="167" spans="2:6" ht="12.75">
      <c r="B167" s="457"/>
      <c r="C167" s="457"/>
      <c r="D167" s="457"/>
      <c r="E167" s="457"/>
      <c r="F167" s="457"/>
    </row>
    <row r="168" spans="2:6" ht="12.75">
      <c r="B168" s="457"/>
      <c r="C168" s="457"/>
      <c r="D168" s="457"/>
      <c r="E168" s="457"/>
      <c r="F168" s="457"/>
    </row>
    <row r="169" spans="2:6" ht="12.75">
      <c r="B169" s="457"/>
      <c r="C169" s="457"/>
      <c r="D169" s="457"/>
      <c r="E169" s="457"/>
      <c r="F169" s="457"/>
    </row>
    <row r="170" spans="2:6" ht="12.75">
      <c r="B170" s="457"/>
      <c r="C170" s="457"/>
      <c r="D170" s="457"/>
      <c r="E170" s="457"/>
      <c r="F170" s="457"/>
    </row>
    <row r="171" spans="2:6" ht="12.75">
      <c r="B171" s="457"/>
      <c r="C171" s="457"/>
      <c r="D171" s="457"/>
      <c r="E171" s="457"/>
      <c r="F171" s="457"/>
    </row>
    <row r="172" spans="2:6" ht="12.75">
      <c r="B172" s="457"/>
      <c r="C172" s="457"/>
      <c r="D172" s="457"/>
      <c r="E172" s="457"/>
      <c r="F172" s="457"/>
    </row>
    <row r="173" spans="2:6" ht="12.75">
      <c r="B173" s="457"/>
      <c r="C173" s="457"/>
      <c r="D173" s="457"/>
      <c r="E173" s="457"/>
      <c r="F173" s="457"/>
    </row>
    <row r="174" spans="2:6" ht="12.75">
      <c r="B174" s="457"/>
      <c r="C174" s="457"/>
      <c r="D174" s="457"/>
      <c r="E174" s="457"/>
      <c r="F174" s="457"/>
    </row>
    <row r="175" spans="2:6" ht="12.75">
      <c r="B175" s="457"/>
      <c r="C175" s="457"/>
      <c r="D175" s="457"/>
      <c r="E175" s="457"/>
      <c r="F175" s="457"/>
    </row>
    <row r="176" spans="2:6" ht="12.75">
      <c r="B176" s="457"/>
      <c r="C176" s="457"/>
      <c r="D176" s="457"/>
      <c r="E176" s="457"/>
      <c r="F176" s="457"/>
    </row>
    <row r="177" spans="2:6" ht="12.75">
      <c r="B177" s="457"/>
      <c r="C177" s="457"/>
      <c r="D177" s="457"/>
      <c r="E177" s="457"/>
      <c r="F177" s="457"/>
    </row>
    <row r="178" spans="2:6" ht="12.75">
      <c r="B178" s="457"/>
      <c r="C178" s="457"/>
      <c r="D178" s="457"/>
      <c r="E178" s="457"/>
      <c r="F178" s="457"/>
    </row>
    <row r="179" spans="2:6" ht="12.75">
      <c r="B179" s="457"/>
      <c r="C179" s="457"/>
      <c r="D179" s="457"/>
      <c r="E179" s="457"/>
      <c r="F179" s="457"/>
    </row>
    <row r="180" spans="2:6" ht="12.75">
      <c r="B180" s="457"/>
      <c r="C180" s="457"/>
      <c r="D180" s="457"/>
      <c r="E180" s="457"/>
      <c r="F180" s="457"/>
    </row>
    <row r="181" spans="2:6" ht="12.75">
      <c r="B181" s="457"/>
      <c r="C181" s="457"/>
      <c r="D181" s="457"/>
      <c r="E181" s="457"/>
      <c r="F181" s="457"/>
    </row>
    <row r="182" spans="2:6" ht="12.75">
      <c r="B182" s="457"/>
      <c r="C182" s="457"/>
      <c r="D182" s="457"/>
      <c r="E182" s="457"/>
      <c r="F182" s="457"/>
    </row>
    <row r="183" spans="2:6" ht="12.75">
      <c r="B183" s="457"/>
      <c r="C183" s="457"/>
      <c r="D183" s="457"/>
      <c r="E183" s="457"/>
      <c r="F183" s="457"/>
    </row>
    <row r="184" spans="2:6" ht="12.75">
      <c r="B184" s="457"/>
      <c r="C184" s="457"/>
      <c r="D184" s="457"/>
      <c r="E184" s="457"/>
      <c r="F184" s="457"/>
    </row>
    <row r="185" spans="2:6" ht="12.75">
      <c r="B185" s="457"/>
      <c r="C185" s="457"/>
      <c r="D185" s="457"/>
      <c r="E185" s="457"/>
      <c r="F185" s="457"/>
    </row>
    <row r="186" spans="2:6" ht="12.75">
      <c r="B186" s="457"/>
      <c r="C186" s="457"/>
      <c r="D186" s="457"/>
      <c r="E186" s="457"/>
      <c r="F186" s="457"/>
    </row>
    <row r="187" spans="2:6" ht="12.75">
      <c r="B187" s="457"/>
      <c r="C187" s="457"/>
      <c r="D187" s="457"/>
      <c r="E187" s="457"/>
      <c r="F187" s="457"/>
    </row>
    <row r="188" spans="2:6" ht="12.75">
      <c r="B188" s="457"/>
      <c r="C188" s="457"/>
      <c r="D188" s="457"/>
      <c r="E188" s="457"/>
      <c r="F188" s="457"/>
    </row>
    <row r="189" spans="2:6" ht="12.75">
      <c r="B189" s="457"/>
      <c r="C189" s="457"/>
      <c r="D189" s="457"/>
      <c r="E189" s="457"/>
      <c r="F189" s="457"/>
    </row>
    <row r="190" spans="2:6" ht="12.75">
      <c r="B190" s="457"/>
      <c r="C190" s="457"/>
      <c r="D190" s="457"/>
      <c r="E190" s="457"/>
      <c r="F190" s="457"/>
    </row>
    <row r="191" spans="2:6" ht="12.75">
      <c r="B191" s="457"/>
      <c r="C191" s="457"/>
      <c r="D191" s="457"/>
      <c r="E191" s="457"/>
      <c r="F191" s="457"/>
    </row>
    <row r="192" spans="2:6" ht="12.75">
      <c r="B192" s="457"/>
      <c r="C192" s="457"/>
      <c r="D192" s="457"/>
      <c r="E192" s="457"/>
      <c r="F192" s="457"/>
    </row>
    <row r="193" spans="2:6" ht="12.75">
      <c r="B193" s="457"/>
      <c r="C193" s="457"/>
      <c r="D193" s="457"/>
      <c r="E193" s="457"/>
      <c r="F193" s="457"/>
    </row>
    <row r="194" spans="2:6" ht="12.75">
      <c r="B194" s="457"/>
      <c r="C194" s="457"/>
      <c r="D194" s="457"/>
      <c r="E194" s="457"/>
      <c r="F194" s="457"/>
    </row>
    <row r="195" spans="2:6" ht="12.75">
      <c r="B195" s="457"/>
      <c r="C195" s="457"/>
      <c r="D195" s="457"/>
      <c r="E195" s="457"/>
      <c r="F195" s="457"/>
    </row>
    <row r="196" spans="2:6" ht="12.75">
      <c r="B196" s="457"/>
      <c r="C196" s="457"/>
      <c r="D196" s="457"/>
      <c r="E196" s="457"/>
      <c r="F196" s="457"/>
    </row>
    <row r="197" spans="2:6" ht="12.75">
      <c r="B197" s="457"/>
      <c r="C197" s="457"/>
      <c r="D197" s="457"/>
      <c r="E197" s="457"/>
      <c r="F197" s="457"/>
    </row>
    <row r="198" spans="2:6" ht="12.75">
      <c r="B198" s="457"/>
      <c r="C198" s="457"/>
      <c r="D198" s="457"/>
      <c r="E198" s="457"/>
      <c r="F198" s="457"/>
    </row>
    <row r="199" spans="2:6" ht="12.75">
      <c r="B199" s="457"/>
      <c r="C199" s="457"/>
      <c r="D199" s="457"/>
      <c r="E199" s="457"/>
      <c r="F199" s="457"/>
    </row>
    <row r="200" spans="2:6" ht="12.75">
      <c r="B200" s="457"/>
      <c r="C200" s="457"/>
      <c r="D200" s="457"/>
      <c r="E200" s="457"/>
      <c r="F200" s="457"/>
    </row>
    <row r="201" spans="2:6" ht="12.75">
      <c r="B201" s="457"/>
      <c r="C201" s="457"/>
      <c r="D201" s="457"/>
      <c r="E201" s="457"/>
      <c r="F201" s="457"/>
    </row>
    <row r="202" spans="2:6" ht="12.75">
      <c r="B202" s="457"/>
      <c r="C202" s="457"/>
      <c r="D202" s="457"/>
      <c r="E202" s="457"/>
      <c r="F202" s="457"/>
    </row>
    <row r="203" spans="2:6" ht="12.75">
      <c r="B203" s="457"/>
      <c r="C203" s="457"/>
      <c r="D203" s="457"/>
      <c r="E203" s="457"/>
      <c r="F203" s="457"/>
    </row>
    <row r="204" spans="2:6" ht="12.75">
      <c r="B204" s="457"/>
      <c r="C204" s="457"/>
      <c r="D204" s="457"/>
      <c r="E204" s="457"/>
      <c r="F204" s="457"/>
    </row>
    <row r="205" spans="2:6" ht="12.75">
      <c r="B205" s="457"/>
      <c r="C205" s="457"/>
      <c r="D205" s="457"/>
      <c r="E205" s="457"/>
      <c r="F205" s="457"/>
    </row>
    <row r="206" spans="2:6" ht="12.75">
      <c r="B206" s="457"/>
      <c r="C206" s="457"/>
      <c r="D206" s="457"/>
      <c r="E206" s="457"/>
      <c r="F206" s="457"/>
    </row>
    <row r="207" spans="2:6" ht="12.75">
      <c r="B207" s="457"/>
      <c r="C207" s="457"/>
      <c r="D207" s="457"/>
      <c r="E207" s="457"/>
      <c r="F207" s="457"/>
    </row>
    <row r="208" spans="2:6" ht="12.75">
      <c r="B208" s="457"/>
      <c r="C208" s="457"/>
      <c r="D208" s="457"/>
      <c r="E208" s="457"/>
      <c r="F208" s="457"/>
    </row>
    <row r="209" spans="2:6" ht="12.75">
      <c r="B209" s="457"/>
      <c r="C209" s="457"/>
      <c r="D209" s="457"/>
      <c r="E209" s="457"/>
      <c r="F209" s="457"/>
    </row>
    <row r="210" spans="2:6" ht="12.75">
      <c r="B210" s="457"/>
      <c r="C210" s="457"/>
      <c r="D210" s="457"/>
      <c r="E210" s="457"/>
      <c r="F210" s="457"/>
    </row>
    <row r="211" spans="2:6" ht="12.75">
      <c r="B211" s="457"/>
      <c r="C211" s="457"/>
      <c r="D211" s="457"/>
      <c r="E211" s="457"/>
      <c r="F211" s="457"/>
    </row>
    <row r="212" spans="2:6" ht="12.75">
      <c r="B212" s="457"/>
      <c r="C212" s="457"/>
      <c r="D212" s="457"/>
      <c r="E212" s="457"/>
      <c r="F212" s="457"/>
    </row>
    <row r="213" spans="2:6" ht="12.75">
      <c r="B213" s="457"/>
      <c r="C213" s="457"/>
      <c r="D213" s="457"/>
      <c r="E213" s="457"/>
      <c r="F213" s="457"/>
    </row>
    <row r="214" spans="2:6" ht="12.75">
      <c r="B214" s="457"/>
      <c r="C214" s="457"/>
      <c r="D214" s="457"/>
      <c r="E214" s="457"/>
      <c r="F214" s="457"/>
    </row>
    <row r="215" spans="2:6" ht="12.75">
      <c r="B215" s="457"/>
      <c r="C215" s="457"/>
      <c r="D215" s="457"/>
      <c r="E215" s="457"/>
      <c r="F215" s="457"/>
    </row>
    <row r="216" spans="2:6" ht="12.75">
      <c r="B216" s="457"/>
      <c r="C216" s="457"/>
      <c r="D216" s="457"/>
      <c r="E216" s="457"/>
      <c r="F216" s="457"/>
    </row>
    <row r="217" spans="2:6" ht="12.75">
      <c r="B217" s="457"/>
      <c r="C217" s="457"/>
      <c r="D217" s="457"/>
      <c r="E217" s="457"/>
      <c r="F217" s="457"/>
    </row>
    <row r="218" spans="2:6" ht="12.75">
      <c r="B218" s="457"/>
      <c r="C218" s="457"/>
      <c r="D218" s="457"/>
      <c r="E218" s="457"/>
      <c r="F218" s="457"/>
    </row>
    <row r="219" spans="2:6" ht="12.75">
      <c r="B219" s="457"/>
      <c r="C219" s="457"/>
      <c r="D219" s="457"/>
      <c r="E219" s="457"/>
      <c r="F219" s="457"/>
    </row>
    <row r="220" spans="2:6" ht="12.75">
      <c r="B220" s="457"/>
      <c r="C220" s="457"/>
      <c r="D220" s="457"/>
      <c r="E220" s="457"/>
      <c r="F220" s="457"/>
    </row>
    <row r="221" spans="2:6" ht="12.75">
      <c r="B221" s="457"/>
      <c r="C221" s="457"/>
      <c r="D221" s="457"/>
      <c r="E221" s="457"/>
      <c r="F221" s="457"/>
    </row>
    <row r="222" spans="2:6" ht="12.75">
      <c r="B222" s="457"/>
      <c r="C222" s="457"/>
      <c r="D222" s="457"/>
      <c r="E222" s="457"/>
      <c r="F222" s="457"/>
    </row>
    <row r="223" spans="2:6" ht="12.75">
      <c r="B223" s="457"/>
      <c r="C223" s="457"/>
      <c r="D223" s="457"/>
      <c r="E223" s="457"/>
      <c r="F223" s="457"/>
    </row>
    <row r="224" spans="2:6" ht="12.75">
      <c r="B224" s="457"/>
      <c r="C224" s="457"/>
      <c r="D224" s="457"/>
      <c r="E224" s="457"/>
      <c r="F224" s="457"/>
    </row>
    <row r="225" spans="2:6" ht="12.75">
      <c r="B225" s="457"/>
      <c r="C225" s="457"/>
      <c r="D225" s="457"/>
      <c r="E225" s="457"/>
      <c r="F225" s="457"/>
    </row>
    <row r="226" spans="2:6" ht="12.75">
      <c r="B226" s="457"/>
      <c r="C226" s="457"/>
      <c r="D226" s="457"/>
      <c r="E226" s="457"/>
      <c r="F226" s="457"/>
    </row>
    <row r="227" spans="2:6" ht="12.75">
      <c r="B227" s="457"/>
      <c r="C227" s="457"/>
      <c r="D227" s="457"/>
      <c r="E227" s="457"/>
      <c r="F227" s="457"/>
    </row>
    <row r="228" spans="2:6" ht="12.75">
      <c r="B228" s="457"/>
      <c r="C228" s="457"/>
      <c r="D228" s="457"/>
      <c r="E228" s="457"/>
      <c r="F228" s="457"/>
    </row>
    <row r="229" spans="2:6" ht="12.75">
      <c r="B229" s="457"/>
      <c r="C229" s="457"/>
      <c r="D229" s="457"/>
      <c r="E229" s="457"/>
      <c r="F229" s="457"/>
    </row>
    <row r="230" spans="2:6" ht="12.75">
      <c r="B230" s="457"/>
      <c r="C230" s="457"/>
      <c r="D230" s="457"/>
      <c r="E230" s="457"/>
      <c r="F230" s="457"/>
    </row>
    <row r="231" spans="2:6" ht="12.75">
      <c r="B231" s="457"/>
      <c r="C231" s="457"/>
      <c r="D231" s="457"/>
      <c r="E231" s="457"/>
      <c r="F231" s="457"/>
    </row>
    <row r="232" spans="2:6" ht="12.75">
      <c r="B232" s="457"/>
      <c r="C232" s="457"/>
      <c r="D232" s="457"/>
      <c r="E232" s="457"/>
      <c r="F232" s="457"/>
    </row>
    <row r="233" spans="2:6" ht="12.75">
      <c r="B233" s="457"/>
      <c r="C233" s="457"/>
      <c r="D233" s="457"/>
      <c r="E233" s="457"/>
      <c r="F233" s="457"/>
    </row>
    <row r="234" spans="2:6" ht="12.75">
      <c r="B234" s="457"/>
      <c r="C234" s="457"/>
      <c r="D234" s="457"/>
      <c r="E234" s="457"/>
      <c r="F234" s="457"/>
    </row>
    <row r="235" spans="2:6" ht="12.75">
      <c r="B235" s="457"/>
      <c r="C235" s="457"/>
      <c r="D235" s="457"/>
      <c r="E235" s="457"/>
      <c r="F235" s="457"/>
    </row>
    <row r="236" spans="2:6" ht="12.75">
      <c r="B236" s="457"/>
      <c r="C236" s="457"/>
      <c r="D236" s="457"/>
      <c r="E236" s="457"/>
      <c r="F236" s="457"/>
    </row>
    <row r="237" spans="2:6" ht="12.75">
      <c r="B237" s="457"/>
      <c r="C237" s="457"/>
      <c r="D237" s="457"/>
      <c r="E237" s="457"/>
      <c r="F237" s="457"/>
    </row>
    <row r="238" spans="2:6" ht="12.75">
      <c r="B238" s="457"/>
      <c r="C238" s="457"/>
      <c r="D238" s="457"/>
      <c r="E238" s="457"/>
      <c r="F238" s="457"/>
    </row>
    <row r="239" spans="2:6" ht="12.75">
      <c r="B239" s="457"/>
      <c r="C239" s="457"/>
      <c r="D239" s="457"/>
      <c r="E239" s="457"/>
      <c r="F239" s="457"/>
    </row>
    <row r="240" spans="2:6" ht="12.75">
      <c r="B240" s="457"/>
      <c r="C240" s="457"/>
      <c r="D240" s="457"/>
      <c r="E240" s="457"/>
      <c r="F240" s="457"/>
    </row>
    <row r="241" spans="2:6" ht="12.75">
      <c r="B241" s="457"/>
      <c r="C241" s="457"/>
      <c r="D241" s="457"/>
      <c r="E241" s="457"/>
      <c r="F241" s="457"/>
    </row>
    <row r="242" spans="2:6" ht="12.75">
      <c r="B242" s="457"/>
      <c r="C242" s="457"/>
      <c r="D242" s="457"/>
      <c r="E242" s="457"/>
      <c r="F242" s="457"/>
    </row>
    <row r="243" spans="2:6" ht="12.75">
      <c r="B243" s="457"/>
      <c r="C243" s="457"/>
      <c r="D243" s="457"/>
      <c r="E243" s="457"/>
      <c r="F243" s="457"/>
    </row>
    <row r="244" spans="2:6" ht="12.75">
      <c r="B244" s="457"/>
      <c r="C244" s="457"/>
      <c r="D244" s="457"/>
      <c r="E244" s="457"/>
      <c r="F244" s="457"/>
    </row>
    <row r="245" spans="2:6" ht="12.75">
      <c r="B245" s="457"/>
      <c r="C245" s="457"/>
      <c r="D245" s="457"/>
      <c r="E245" s="457"/>
      <c r="F245" s="457"/>
    </row>
    <row r="246" spans="2:6" ht="12.75">
      <c r="B246" s="457"/>
      <c r="C246" s="457"/>
      <c r="D246" s="457"/>
      <c r="E246" s="457"/>
      <c r="F246" s="457"/>
    </row>
    <row r="247" spans="2:6" ht="12.75">
      <c r="B247" s="457"/>
      <c r="C247" s="457"/>
      <c r="D247" s="457"/>
      <c r="E247" s="457"/>
      <c r="F247" s="457"/>
    </row>
    <row r="248" spans="2:6" ht="12.75">
      <c r="B248" s="457"/>
      <c r="C248" s="457"/>
      <c r="D248" s="457"/>
      <c r="E248" s="457"/>
      <c r="F248" s="457"/>
    </row>
    <row r="249" spans="2:6" ht="12.75">
      <c r="B249" s="457"/>
      <c r="C249" s="457"/>
      <c r="D249" s="457"/>
      <c r="E249" s="457"/>
      <c r="F249" s="457"/>
    </row>
    <row r="250" spans="2:6" ht="12.75">
      <c r="B250" s="457"/>
      <c r="C250" s="457"/>
      <c r="D250" s="457"/>
      <c r="E250" s="457"/>
      <c r="F250" s="457"/>
    </row>
    <row r="251" spans="2:6" ht="12.75">
      <c r="B251" s="457"/>
      <c r="C251" s="457"/>
      <c r="D251" s="457"/>
      <c r="E251" s="457"/>
      <c r="F251" s="457"/>
    </row>
    <row r="252" spans="2:6" ht="12.75">
      <c r="B252" s="457"/>
      <c r="C252" s="457"/>
      <c r="D252" s="457"/>
      <c r="E252" s="457"/>
      <c r="F252" s="457"/>
    </row>
    <row r="253" spans="2:6" ht="12.75">
      <c r="B253" s="457"/>
      <c r="C253" s="457"/>
      <c r="D253" s="457"/>
      <c r="E253" s="457"/>
      <c r="F253" s="457"/>
    </row>
    <row r="254" spans="2:6" ht="12.75">
      <c r="B254" s="457"/>
      <c r="C254" s="457"/>
      <c r="D254" s="457"/>
      <c r="E254" s="457"/>
      <c r="F254" s="457"/>
    </row>
    <row r="255" spans="2:6" ht="12.75">
      <c r="B255" s="457"/>
      <c r="C255" s="457"/>
      <c r="D255" s="457"/>
      <c r="E255" s="457"/>
      <c r="F255" s="457"/>
    </row>
    <row r="256" spans="2:6" ht="12.75">
      <c r="B256" s="457"/>
      <c r="C256" s="457"/>
      <c r="D256" s="457"/>
      <c r="E256" s="457"/>
      <c r="F256" s="457"/>
    </row>
    <row r="257" spans="2:6" ht="12.75">
      <c r="B257" s="457"/>
      <c r="C257" s="457"/>
      <c r="D257" s="457"/>
      <c r="E257" s="457"/>
      <c r="F257" s="457"/>
    </row>
    <row r="258" spans="2:6" ht="12.75">
      <c r="B258" s="457"/>
      <c r="C258" s="457"/>
      <c r="D258" s="457"/>
      <c r="E258" s="457"/>
      <c r="F258" s="457"/>
    </row>
    <row r="259" spans="2:6" ht="12.75">
      <c r="B259" s="457"/>
      <c r="C259" s="457"/>
      <c r="D259" s="457"/>
      <c r="E259" s="457"/>
      <c r="F259" s="457"/>
    </row>
    <row r="260" spans="2:6" ht="12.75">
      <c r="B260" s="457"/>
      <c r="C260" s="457"/>
      <c r="D260" s="457"/>
      <c r="E260" s="457"/>
      <c r="F260" s="457"/>
    </row>
    <row r="261" spans="2:6" ht="12.75">
      <c r="B261" s="457"/>
      <c r="C261" s="457"/>
      <c r="D261" s="457"/>
      <c r="E261" s="457"/>
      <c r="F261" s="457"/>
    </row>
    <row r="262" spans="2:6" ht="12.75">
      <c r="B262" s="457"/>
      <c r="C262" s="457"/>
      <c r="D262" s="457"/>
      <c r="E262" s="457"/>
      <c r="F262" s="457"/>
    </row>
    <row r="263" spans="2:6" ht="12.75">
      <c r="B263" s="457"/>
      <c r="C263" s="457"/>
      <c r="D263" s="457"/>
      <c r="E263" s="457"/>
      <c r="F263" s="457"/>
    </row>
    <row r="264" spans="2:6" ht="12.75">
      <c r="B264" s="457"/>
      <c r="C264" s="457"/>
      <c r="D264" s="457"/>
      <c r="E264" s="457"/>
      <c r="F264" s="457"/>
    </row>
    <row r="265" spans="2:6" ht="12.75">
      <c r="B265" s="457"/>
      <c r="C265" s="457"/>
      <c r="D265" s="457"/>
      <c r="E265" s="457"/>
      <c r="F265" s="457"/>
    </row>
    <row r="266" spans="2:6" ht="12.75">
      <c r="B266" s="457"/>
      <c r="C266" s="457"/>
      <c r="D266" s="457"/>
      <c r="E266" s="457"/>
      <c r="F266" s="457"/>
    </row>
    <row r="267" spans="2:6" ht="12.75">
      <c r="B267" s="457"/>
      <c r="C267" s="457"/>
      <c r="D267" s="457"/>
      <c r="E267" s="457"/>
      <c r="F267" s="457"/>
    </row>
    <row r="268" spans="2:6" ht="12.75">
      <c r="B268" s="457"/>
      <c r="C268" s="457"/>
      <c r="D268" s="457"/>
      <c r="E268" s="457"/>
      <c r="F268" s="457"/>
    </row>
    <row r="269" spans="2:6" ht="12.75">
      <c r="B269" s="457"/>
      <c r="C269" s="457"/>
      <c r="D269" s="457"/>
      <c r="E269" s="457"/>
      <c r="F269" s="457"/>
    </row>
    <row r="270" spans="2:6" ht="12.75">
      <c r="B270" s="457"/>
      <c r="C270" s="457"/>
      <c r="D270" s="457"/>
      <c r="E270" s="457"/>
      <c r="F270" s="457"/>
    </row>
    <row r="271" spans="2:6" ht="12.75">
      <c r="B271" s="457"/>
      <c r="C271" s="457"/>
      <c r="D271" s="457"/>
      <c r="E271" s="457"/>
      <c r="F271" s="457"/>
    </row>
    <row r="272" spans="2:6" ht="12.75">
      <c r="B272" s="457"/>
      <c r="C272" s="457"/>
      <c r="D272" s="457"/>
      <c r="E272" s="457"/>
      <c r="F272" s="457"/>
    </row>
    <row r="273" spans="2:6" ht="12.75">
      <c r="B273" s="457"/>
      <c r="C273" s="457"/>
      <c r="D273" s="457"/>
      <c r="E273" s="457"/>
      <c r="F273" s="457"/>
    </row>
    <row r="274" spans="2:6" ht="12.75">
      <c r="B274" s="457"/>
      <c r="C274" s="457"/>
      <c r="D274" s="457"/>
      <c r="E274" s="457"/>
      <c r="F274" s="457"/>
    </row>
    <row r="275" spans="2:6" ht="12.75">
      <c r="B275" s="457"/>
      <c r="C275" s="457"/>
      <c r="D275" s="457"/>
      <c r="E275" s="457"/>
      <c r="F275" s="457"/>
    </row>
    <row r="276" spans="2:6" ht="12.75">
      <c r="B276" s="457"/>
      <c r="C276" s="457"/>
      <c r="D276" s="457"/>
      <c r="E276" s="457"/>
      <c r="F276" s="457"/>
    </row>
    <row r="277" spans="2:6" ht="12.75">
      <c r="B277" s="457"/>
      <c r="C277" s="457"/>
      <c r="D277" s="457"/>
      <c r="E277" s="457"/>
      <c r="F277" s="457"/>
    </row>
    <row r="278" spans="2:6" ht="12.75">
      <c r="B278" s="457"/>
      <c r="C278" s="457"/>
      <c r="D278" s="457"/>
      <c r="E278" s="457"/>
      <c r="F278" s="457"/>
    </row>
    <row r="279" spans="2:6" ht="12.75">
      <c r="B279" s="457"/>
      <c r="C279" s="457"/>
      <c r="D279" s="457"/>
      <c r="E279" s="457"/>
      <c r="F279" s="457"/>
    </row>
    <row r="280" spans="2:6" ht="12.75">
      <c r="B280" s="457"/>
      <c r="C280" s="457"/>
      <c r="D280" s="457"/>
      <c r="E280" s="457"/>
      <c r="F280" s="457"/>
    </row>
    <row r="281" spans="2:6" ht="12.75">
      <c r="B281" s="457"/>
      <c r="C281" s="457"/>
      <c r="D281" s="457"/>
      <c r="E281" s="457"/>
      <c r="F281" s="457"/>
    </row>
    <row r="282" spans="2:6" ht="12.75">
      <c r="B282" s="457"/>
      <c r="C282" s="457"/>
      <c r="D282" s="457"/>
      <c r="E282" s="457"/>
      <c r="F282" s="457"/>
    </row>
    <row r="283" spans="2:6" ht="12.75">
      <c r="B283" s="457"/>
      <c r="C283" s="457"/>
      <c r="D283" s="457"/>
      <c r="E283" s="457"/>
      <c r="F283" s="457"/>
    </row>
    <row r="284" spans="2:6" ht="12.75">
      <c r="B284" s="457"/>
      <c r="C284" s="457"/>
      <c r="D284" s="457"/>
      <c r="E284" s="457"/>
      <c r="F284" s="457"/>
    </row>
    <row r="285" spans="2:6" ht="12.75">
      <c r="B285" s="457"/>
      <c r="C285" s="457"/>
      <c r="D285" s="457"/>
      <c r="E285" s="457"/>
      <c r="F285" s="457"/>
    </row>
    <row r="286" spans="2:6" ht="12.75">
      <c r="B286" s="457"/>
      <c r="C286" s="457"/>
      <c r="D286" s="457"/>
      <c r="E286" s="457"/>
      <c r="F286" s="457"/>
    </row>
    <row r="287" spans="2:6" ht="12.75">
      <c r="B287" s="457"/>
      <c r="C287" s="457"/>
      <c r="D287" s="457"/>
      <c r="E287" s="457"/>
      <c r="F287" s="457"/>
    </row>
    <row r="288" spans="2:6" ht="12.75">
      <c r="B288" s="457"/>
      <c r="C288" s="457"/>
      <c r="D288" s="457"/>
      <c r="E288" s="457"/>
      <c r="F288" s="457"/>
    </row>
    <row r="289" spans="2:6" ht="12.75">
      <c r="B289" s="457"/>
      <c r="C289" s="457"/>
      <c r="D289" s="457"/>
      <c r="E289" s="457"/>
      <c r="F289" s="457"/>
    </row>
    <row r="290" spans="2:6" ht="12.75">
      <c r="B290" s="457"/>
      <c r="C290" s="457"/>
      <c r="D290" s="457"/>
      <c r="E290" s="457"/>
      <c r="F290" s="457"/>
    </row>
    <row r="291" spans="2:6" ht="12.75">
      <c r="B291" s="457"/>
      <c r="C291" s="457"/>
      <c r="D291" s="457"/>
      <c r="E291" s="457"/>
      <c r="F291" s="457"/>
    </row>
    <row r="292" spans="2:6" ht="12.75">
      <c r="B292" s="457"/>
      <c r="C292" s="457"/>
      <c r="D292" s="457"/>
      <c r="E292" s="457"/>
      <c r="F292" s="457"/>
    </row>
    <row r="293" spans="2:6" ht="12.75">
      <c r="B293" s="457"/>
      <c r="C293" s="457"/>
      <c r="D293" s="457"/>
      <c r="E293" s="457"/>
      <c r="F293" s="457"/>
    </row>
    <row r="294" spans="2:6" ht="12.75">
      <c r="B294" s="457"/>
      <c r="C294" s="457"/>
      <c r="D294" s="457"/>
      <c r="E294" s="457"/>
      <c r="F294" s="457"/>
    </row>
    <row r="295" spans="2:6" ht="12.75">
      <c r="B295" s="457"/>
      <c r="C295" s="457"/>
      <c r="D295" s="457"/>
      <c r="E295" s="457"/>
      <c r="F295" s="457"/>
    </row>
    <row r="296" spans="2:6" ht="12.75">
      <c r="B296" s="457"/>
      <c r="C296" s="457"/>
      <c r="D296" s="457"/>
      <c r="E296" s="457"/>
      <c r="F296" s="457"/>
    </row>
    <row r="297" spans="2:6" ht="12.75">
      <c r="B297" s="457"/>
      <c r="C297" s="457"/>
      <c r="D297" s="457"/>
      <c r="E297" s="457"/>
      <c r="F297" s="457"/>
    </row>
    <row r="298" spans="2:6" ht="12.75">
      <c r="B298" s="457"/>
      <c r="C298" s="457"/>
      <c r="D298" s="457"/>
      <c r="E298" s="457"/>
      <c r="F298" s="457"/>
    </row>
    <row r="299" spans="2:6" ht="12.75">
      <c r="B299" s="457"/>
      <c r="C299" s="457"/>
      <c r="D299" s="457"/>
      <c r="E299" s="457"/>
      <c r="F299" s="457"/>
    </row>
    <row r="300" spans="2:6" ht="12.75">
      <c r="B300" s="457"/>
      <c r="C300" s="457"/>
      <c r="D300" s="457"/>
      <c r="E300" s="457"/>
      <c r="F300" s="457"/>
    </row>
    <row r="301" spans="2:6" ht="12.75">
      <c r="B301" s="457"/>
      <c r="C301" s="457"/>
      <c r="D301" s="457"/>
      <c r="E301" s="457"/>
      <c r="F301" s="457"/>
    </row>
    <row r="302" spans="2:6" ht="12.75">
      <c r="B302" s="457"/>
      <c r="C302" s="457"/>
      <c r="D302" s="457"/>
      <c r="E302" s="457"/>
      <c r="F302" s="457"/>
    </row>
    <row r="303" spans="2:6" ht="12.75">
      <c r="B303" s="457"/>
      <c r="C303" s="457"/>
      <c r="D303" s="457"/>
      <c r="E303" s="457"/>
      <c r="F303" s="457"/>
    </row>
    <row r="304" spans="2:6" ht="12.75">
      <c r="B304" s="457"/>
      <c r="C304" s="457"/>
      <c r="D304" s="457"/>
      <c r="E304" s="457"/>
      <c r="F304" s="457"/>
    </row>
    <row r="305" spans="2:6" ht="12.75">
      <c r="B305" s="457"/>
      <c r="C305" s="457"/>
      <c r="D305" s="457"/>
      <c r="E305" s="457"/>
      <c r="F305" s="457"/>
    </row>
    <row r="306" spans="2:6" ht="12.75">
      <c r="B306" s="457"/>
      <c r="C306" s="457"/>
      <c r="D306" s="457"/>
      <c r="E306" s="457"/>
      <c r="F306" s="457"/>
    </row>
    <row r="307" spans="2:6" ht="12.75">
      <c r="B307" s="457"/>
      <c r="C307" s="457"/>
      <c r="D307" s="457"/>
      <c r="E307" s="457"/>
      <c r="F307" s="457"/>
    </row>
    <row r="308" spans="2:6" ht="12.75">
      <c r="B308" s="457"/>
      <c r="C308" s="457"/>
      <c r="D308" s="457"/>
      <c r="E308" s="457"/>
      <c r="F308" s="457"/>
    </row>
    <row r="309" spans="2:6" ht="12.75">
      <c r="B309" s="457"/>
      <c r="C309" s="457"/>
      <c r="D309" s="457"/>
      <c r="E309" s="457"/>
      <c r="F309" s="457"/>
    </row>
    <row r="310" spans="2:6" ht="12.75">
      <c r="B310" s="457"/>
      <c r="C310" s="457"/>
      <c r="D310" s="457"/>
      <c r="E310" s="457"/>
      <c r="F310" s="457"/>
    </row>
    <row r="311" spans="2:6" ht="12.75">
      <c r="B311" s="457"/>
      <c r="C311" s="457"/>
      <c r="D311" s="457"/>
      <c r="E311" s="457"/>
      <c r="F311" s="457"/>
    </row>
    <row r="312" spans="2:6" ht="12.75">
      <c r="B312" s="457"/>
      <c r="C312" s="457"/>
      <c r="D312" s="457"/>
      <c r="E312" s="457"/>
      <c r="F312" s="457"/>
    </row>
    <row r="313" spans="2:6" ht="12.75">
      <c r="B313" s="457"/>
      <c r="C313" s="457"/>
      <c r="D313" s="457"/>
      <c r="E313" s="457"/>
      <c r="F313" s="457"/>
    </row>
    <row r="314" spans="2:6" ht="12.75">
      <c r="B314" s="457"/>
      <c r="C314" s="457"/>
      <c r="D314" s="457"/>
      <c r="E314" s="457"/>
      <c r="F314" s="457"/>
    </row>
    <row r="315" spans="2:6" ht="12.75">
      <c r="B315" s="457"/>
      <c r="C315" s="457"/>
      <c r="D315" s="457"/>
      <c r="E315" s="457"/>
      <c r="F315" s="457"/>
    </row>
    <row r="316" spans="2:6" ht="12.75">
      <c r="B316" s="457"/>
      <c r="C316" s="457"/>
      <c r="D316" s="457"/>
      <c r="E316" s="457"/>
      <c r="F316" s="457"/>
    </row>
    <row r="317" spans="2:6" ht="12.75">
      <c r="B317" s="457"/>
      <c r="C317" s="457"/>
      <c r="D317" s="457"/>
      <c r="E317" s="457"/>
      <c r="F317" s="457"/>
    </row>
    <row r="318" spans="2:6" ht="12.75">
      <c r="B318" s="457"/>
      <c r="C318" s="457"/>
      <c r="D318" s="457"/>
      <c r="E318" s="457"/>
      <c r="F318" s="457"/>
    </row>
    <row r="319" spans="2:6" ht="12.75">
      <c r="B319" s="457"/>
      <c r="C319" s="457"/>
      <c r="D319" s="457"/>
      <c r="E319" s="457"/>
      <c r="F319" s="457"/>
    </row>
    <row r="320" spans="2:6" ht="12.75">
      <c r="B320" s="457"/>
      <c r="C320" s="457"/>
      <c r="D320" s="457"/>
      <c r="E320" s="457"/>
      <c r="F320" s="457"/>
    </row>
    <row r="321" spans="2:6" ht="12.75">
      <c r="B321" s="457"/>
      <c r="C321" s="457"/>
      <c r="D321" s="457"/>
      <c r="E321" s="457"/>
      <c r="F321" s="457"/>
    </row>
    <row r="322" spans="2:6" ht="12.75">
      <c r="B322" s="457"/>
      <c r="C322" s="457"/>
      <c r="D322" s="457"/>
      <c r="E322" s="457"/>
      <c r="F322" s="457"/>
    </row>
    <row r="323" spans="2:6" ht="12.75">
      <c r="B323" s="457"/>
      <c r="C323" s="457"/>
      <c r="D323" s="457"/>
      <c r="E323" s="457"/>
      <c r="F323" s="457"/>
    </row>
    <row r="324" spans="2:6" ht="12.75">
      <c r="B324" s="457"/>
      <c r="C324" s="457"/>
      <c r="D324" s="457"/>
      <c r="E324" s="457"/>
      <c r="F324" s="457"/>
    </row>
    <row r="325" spans="2:6" ht="12.75">
      <c r="B325" s="457"/>
      <c r="C325" s="457"/>
      <c r="D325" s="457"/>
      <c r="E325" s="457"/>
      <c r="F325" s="457"/>
    </row>
    <row r="326" spans="2:6" ht="12.75">
      <c r="B326" s="457"/>
      <c r="C326" s="457"/>
      <c r="D326" s="457"/>
      <c r="E326" s="457"/>
      <c r="F326" s="457"/>
    </row>
    <row r="327" spans="2:6" ht="12.75">
      <c r="B327" s="457"/>
      <c r="C327" s="457"/>
      <c r="D327" s="457"/>
      <c r="E327" s="457"/>
      <c r="F327" s="457"/>
    </row>
    <row r="328" spans="2:6" ht="12.75">
      <c r="B328" s="457"/>
      <c r="C328" s="457"/>
      <c r="D328" s="457"/>
      <c r="E328" s="457"/>
      <c r="F328" s="457"/>
    </row>
    <row r="329" spans="2:6" ht="12.75">
      <c r="B329" s="457"/>
      <c r="C329" s="457"/>
      <c r="D329" s="457"/>
      <c r="E329" s="457"/>
      <c r="F329" s="457"/>
    </row>
    <row r="330" spans="2:6" ht="12.75">
      <c r="B330" s="457"/>
      <c r="C330" s="457"/>
      <c r="D330" s="457"/>
      <c r="E330" s="457"/>
      <c r="F330" s="457"/>
    </row>
    <row r="331" spans="2:6" ht="12.75">
      <c r="B331" s="457"/>
      <c r="C331" s="457"/>
      <c r="D331" s="457"/>
      <c r="E331" s="457"/>
      <c r="F331" s="457"/>
    </row>
    <row r="332" spans="2:6" ht="12.75">
      <c r="B332" s="457"/>
      <c r="C332" s="457"/>
      <c r="D332" s="457"/>
      <c r="E332" s="457"/>
      <c r="F332" s="457"/>
    </row>
    <row r="333" spans="2:6" ht="12.75">
      <c r="B333" s="457"/>
      <c r="C333" s="457"/>
      <c r="D333" s="457"/>
      <c r="E333" s="457"/>
      <c r="F333" s="457"/>
    </row>
    <row r="334" spans="2:6" ht="12.75">
      <c r="B334" s="457"/>
      <c r="C334" s="457"/>
      <c r="D334" s="457"/>
      <c r="E334" s="457"/>
      <c r="F334" s="457"/>
    </row>
    <row r="335" spans="2:6" ht="12.75">
      <c r="B335" s="457"/>
      <c r="C335" s="457"/>
      <c r="D335" s="457"/>
      <c r="E335" s="457"/>
      <c r="F335" s="457"/>
    </row>
    <row r="336" spans="2:6" ht="12.75">
      <c r="B336" s="457"/>
      <c r="C336" s="457"/>
      <c r="D336" s="457"/>
      <c r="E336" s="457"/>
      <c r="F336" s="457"/>
    </row>
    <row r="337" spans="2:6" ht="12.75">
      <c r="B337" s="457"/>
      <c r="C337" s="457"/>
      <c r="D337" s="457"/>
      <c r="E337" s="457"/>
      <c r="F337" s="457"/>
    </row>
    <row r="338" spans="2:6" ht="12.75">
      <c r="B338" s="457"/>
      <c r="C338" s="457"/>
      <c r="D338" s="457"/>
      <c r="E338" s="457"/>
      <c r="F338" s="457"/>
    </row>
    <row r="339" spans="2:6" ht="12.75">
      <c r="B339" s="457"/>
      <c r="C339" s="457"/>
      <c r="D339" s="457"/>
      <c r="E339" s="457"/>
      <c r="F339" s="457"/>
    </row>
    <row r="340" spans="2:6" ht="12.75">
      <c r="B340" s="457"/>
      <c r="C340" s="457"/>
      <c r="D340" s="457"/>
      <c r="E340" s="457"/>
      <c r="F340" s="457"/>
    </row>
    <row r="341" spans="2:6" ht="12.75">
      <c r="B341" s="457"/>
      <c r="C341" s="457"/>
      <c r="D341" s="457"/>
      <c r="E341" s="457"/>
      <c r="F341" s="457"/>
    </row>
    <row r="342" spans="2:6" ht="12.75">
      <c r="B342" s="457"/>
      <c r="C342" s="457"/>
      <c r="D342" s="457"/>
      <c r="E342" s="457"/>
      <c r="F342" s="457"/>
    </row>
    <row r="343" spans="2:6" ht="12.75">
      <c r="B343" s="457"/>
      <c r="C343" s="457"/>
      <c r="D343" s="457"/>
      <c r="E343" s="457"/>
      <c r="F343" s="457"/>
    </row>
    <row r="344" spans="2:6" ht="12.75">
      <c r="B344" s="457"/>
      <c r="C344" s="457"/>
      <c r="D344" s="457"/>
      <c r="E344" s="457"/>
      <c r="F344" s="457"/>
    </row>
    <row r="345" spans="2:6" ht="12.75">
      <c r="B345" s="457"/>
      <c r="C345" s="457"/>
      <c r="D345" s="457"/>
      <c r="E345" s="457"/>
      <c r="F345" s="457"/>
    </row>
    <row r="346" spans="2:6" ht="12.75">
      <c r="B346" s="457"/>
      <c r="C346" s="457"/>
      <c r="D346" s="457"/>
      <c r="E346" s="457"/>
      <c r="F346" s="457"/>
    </row>
    <row r="347" spans="2:6" ht="12.75">
      <c r="B347" s="457"/>
      <c r="C347" s="457"/>
      <c r="D347" s="457"/>
      <c r="E347" s="457"/>
      <c r="F347" s="457"/>
    </row>
    <row r="348" spans="2:6" ht="12.75">
      <c r="B348" s="457"/>
      <c r="C348" s="457"/>
      <c r="D348" s="457"/>
      <c r="E348" s="457"/>
      <c r="F348" s="457"/>
    </row>
    <row r="349" spans="2:6" ht="12.75">
      <c r="B349" s="457"/>
      <c r="C349" s="457"/>
      <c r="D349" s="457"/>
      <c r="E349" s="457"/>
      <c r="F349" s="457"/>
    </row>
    <row r="350" spans="2:6" ht="12.75">
      <c r="B350" s="457"/>
      <c r="C350" s="457"/>
      <c r="D350" s="457"/>
      <c r="E350" s="457"/>
      <c r="F350" s="457"/>
    </row>
    <row r="351" spans="2:6" ht="12.75">
      <c r="B351" s="457"/>
      <c r="C351" s="457"/>
      <c r="D351" s="457"/>
      <c r="E351" s="457"/>
      <c r="F351" s="457"/>
    </row>
    <row r="352" spans="2:6" ht="12.75">
      <c r="B352" s="457"/>
      <c r="C352" s="457"/>
      <c r="D352" s="457"/>
      <c r="E352" s="457"/>
      <c r="F352" s="457"/>
    </row>
    <row r="353" spans="2:6" ht="12.75">
      <c r="B353" s="457"/>
      <c r="C353" s="457"/>
      <c r="D353" s="457"/>
      <c r="E353" s="457"/>
      <c r="F353" s="457"/>
    </row>
    <row r="354" spans="2:6" ht="12.75">
      <c r="B354" s="457"/>
      <c r="C354" s="457"/>
      <c r="D354" s="457"/>
      <c r="E354" s="457"/>
      <c r="F354" s="457"/>
    </row>
    <row r="355" spans="2:6" ht="12.75">
      <c r="B355" s="457"/>
      <c r="C355" s="457"/>
      <c r="D355" s="457"/>
      <c r="E355" s="457"/>
      <c r="F355" s="457"/>
    </row>
    <row r="356" spans="2:6" ht="12.75">
      <c r="B356" s="457"/>
      <c r="C356" s="457"/>
      <c r="D356" s="457"/>
      <c r="E356" s="457"/>
      <c r="F356" s="457"/>
    </row>
    <row r="357" spans="2:6" ht="12.75">
      <c r="B357" s="457"/>
      <c r="C357" s="457"/>
      <c r="D357" s="457"/>
      <c r="E357" s="457"/>
      <c r="F357" s="457"/>
    </row>
    <row r="358" spans="2:6" ht="12.75">
      <c r="B358" s="457"/>
      <c r="C358" s="457"/>
      <c r="D358" s="457"/>
      <c r="E358" s="457"/>
      <c r="F358" s="457"/>
    </row>
    <row r="359" spans="2:6" ht="12.75">
      <c r="B359" s="457"/>
      <c r="C359" s="457"/>
      <c r="D359" s="457"/>
      <c r="E359" s="457"/>
      <c r="F359" s="457"/>
    </row>
    <row r="360" spans="2:6" ht="12.75">
      <c r="B360" s="457"/>
      <c r="C360" s="457"/>
      <c r="D360" s="457"/>
      <c r="E360" s="457"/>
      <c r="F360" s="457"/>
    </row>
    <row r="361" spans="2:6" ht="12.75">
      <c r="B361" s="457"/>
      <c r="C361" s="457"/>
      <c r="D361" s="457"/>
      <c r="E361" s="457"/>
      <c r="F361" s="457"/>
    </row>
    <row r="362" spans="2:6" ht="12.75">
      <c r="B362" s="457"/>
      <c r="C362" s="457"/>
      <c r="D362" s="457"/>
      <c r="E362" s="457"/>
      <c r="F362" s="457"/>
    </row>
    <row r="363" spans="2:6" ht="12.75">
      <c r="B363" s="457"/>
      <c r="C363" s="457"/>
      <c r="D363" s="457"/>
      <c r="E363" s="457"/>
      <c r="F363" s="457"/>
    </row>
    <row r="364" spans="2:6" ht="12.75">
      <c r="B364" s="457"/>
      <c r="C364" s="457"/>
      <c r="D364" s="457"/>
      <c r="E364" s="457"/>
      <c r="F364" s="457"/>
    </row>
    <row r="365" spans="2:6" ht="12.75">
      <c r="B365" s="457"/>
      <c r="C365" s="457"/>
      <c r="D365" s="457"/>
      <c r="E365" s="457"/>
      <c r="F365" s="457"/>
    </row>
    <row r="366" spans="2:6" ht="12.75">
      <c r="B366" s="457"/>
      <c r="C366" s="457"/>
      <c r="D366" s="457"/>
      <c r="E366" s="457"/>
      <c r="F366" s="457"/>
    </row>
    <row r="367" spans="2:6" ht="12.75">
      <c r="B367" s="457"/>
      <c r="C367" s="457"/>
      <c r="D367" s="457"/>
      <c r="E367" s="457"/>
      <c r="F367" s="457"/>
    </row>
    <row r="368" spans="2:6" ht="12.75">
      <c r="B368" s="457"/>
      <c r="C368" s="457"/>
      <c r="D368" s="457"/>
      <c r="E368" s="457"/>
      <c r="F368" s="457"/>
    </row>
    <row r="369" spans="2:6" ht="12.75">
      <c r="B369" s="457"/>
      <c r="C369" s="457"/>
      <c r="D369" s="457"/>
      <c r="E369" s="457"/>
      <c r="F369" s="457"/>
    </row>
    <row r="370" spans="2:6" ht="12.75">
      <c r="B370" s="457"/>
      <c r="C370" s="457"/>
      <c r="D370" s="457"/>
      <c r="E370" s="457"/>
      <c r="F370" s="457"/>
    </row>
    <row r="371" spans="2:6" ht="12.75">
      <c r="B371" s="457"/>
      <c r="C371" s="457"/>
      <c r="D371" s="457"/>
      <c r="E371" s="457"/>
      <c r="F371" s="457"/>
    </row>
    <row r="372" spans="2:6" ht="12.75">
      <c r="B372" s="457"/>
      <c r="C372" s="457"/>
      <c r="D372" s="457"/>
      <c r="E372" s="457"/>
      <c r="F372" s="457"/>
    </row>
    <row r="373" spans="2:6" ht="12.75">
      <c r="B373" s="457"/>
      <c r="C373" s="457"/>
      <c r="D373" s="457"/>
      <c r="E373" s="457"/>
      <c r="F373" s="457"/>
    </row>
    <row r="374" spans="2:6" ht="12.75">
      <c r="B374" s="457"/>
      <c r="C374" s="457"/>
      <c r="D374" s="457"/>
      <c r="E374" s="457"/>
      <c r="F374" s="457"/>
    </row>
    <row r="375" spans="2:6" ht="12.75">
      <c r="B375" s="457"/>
      <c r="C375" s="457"/>
      <c r="D375" s="457"/>
      <c r="E375" s="457"/>
      <c r="F375" s="457"/>
    </row>
    <row r="376" spans="2:6" ht="12.75">
      <c r="B376" s="457"/>
      <c r="C376" s="457"/>
      <c r="D376" s="457"/>
      <c r="E376" s="457"/>
      <c r="F376" s="457"/>
    </row>
    <row r="377" spans="2:6" ht="12.75">
      <c r="B377" s="457"/>
      <c r="C377" s="457"/>
      <c r="D377" s="457"/>
      <c r="E377" s="457"/>
      <c r="F377" s="457"/>
    </row>
    <row r="378" spans="2:6" ht="12.75">
      <c r="B378" s="457"/>
      <c r="C378" s="457"/>
      <c r="D378" s="457"/>
      <c r="E378" s="457"/>
      <c r="F378" s="457"/>
    </row>
    <row r="379" spans="2:6" ht="12.75">
      <c r="B379" s="457"/>
      <c r="C379" s="457"/>
      <c r="D379" s="457"/>
      <c r="E379" s="457"/>
      <c r="F379" s="457"/>
    </row>
    <row r="380" spans="2:6" ht="12.75">
      <c r="B380" s="457"/>
      <c r="C380" s="457"/>
      <c r="D380" s="457"/>
      <c r="E380" s="457"/>
      <c r="F380" s="457"/>
    </row>
    <row r="381" spans="2:6" ht="12.75">
      <c r="B381" s="457"/>
      <c r="C381" s="457"/>
      <c r="D381" s="457"/>
      <c r="E381" s="457"/>
      <c r="F381" s="457"/>
    </row>
    <row r="382" spans="2:6" ht="12.75">
      <c r="B382" s="457"/>
      <c r="C382" s="457"/>
      <c r="D382" s="457"/>
      <c r="E382" s="457"/>
      <c r="F382" s="457"/>
    </row>
    <row r="383" spans="2:6" ht="12.75">
      <c r="B383" s="457"/>
      <c r="C383" s="457"/>
      <c r="D383" s="457"/>
      <c r="E383" s="457"/>
      <c r="F383" s="457"/>
    </row>
    <row r="384" spans="2:6" ht="12.75">
      <c r="B384" s="457"/>
      <c r="C384" s="457"/>
      <c r="D384" s="457"/>
      <c r="E384" s="457"/>
      <c r="F384" s="457"/>
    </row>
    <row r="385" spans="2:6" ht="12.75">
      <c r="B385" s="457"/>
      <c r="C385" s="457"/>
      <c r="D385" s="457"/>
      <c r="E385" s="457"/>
      <c r="F385" s="457"/>
    </row>
    <row r="386" spans="2:6" ht="12.75">
      <c r="B386" s="457"/>
      <c r="C386" s="457"/>
      <c r="D386" s="457"/>
      <c r="E386" s="457"/>
      <c r="F386" s="457"/>
    </row>
    <row r="387" spans="2:6" ht="12.75">
      <c r="B387" s="457"/>
      <c r="C387" s="457"/>
      <c r="D387" s="457"/>
      <c r="E387" s="457"/>
      <c r="F387" s="457"/>
    </row>
    <row r="388" spans="2:6" ht="12.75">
      <c r="B388" s="457"/>
      <c r="C388" s="457"/>
      <c r="D388" s="457"/>
      <c r="E388" s="457"/>
      <c r="F388" s="457"/>
    </row>
    <row r="389" spans="2:6" ht="12.75">
      <c r="B389" s="457"/>
      <c r="C389" s="457"/>
      <c r="D389" s="457"/>
      <c r="E389" s="457"/>
      <c r="F389" s="457"/>
    </row>
    <row r="390" spans="2:6" ht="12.75">
      <c r="B390" s="457"/>
      <c r="C390" s="457"/>
      <c r="D390" s="457"/>
      <c r="E390" s="457"/>
      <c r="F390" s="457"/>
    </row>
    <row r="391" spans="2:6" ht="12.75">
      <c r="B391" s="457"/>
      <c r="C391" s="457"/>
      <c r="D391" s="457"/>
      <c r="E391" s="457"/>
      <c r="F391" s="457"/>
    </row>
    <row r="392" spans="2:6" ht="12.75">
      <c r="B392" s="457"/>
      <c r="C392" s="457"/>
      <c r="D392" s="457"/>
      <c r="E392" s="457"/>
      <c r="F392" s="457"/>
    </row>
    <row r="393" spans="2:6" ht="12.75">
      <c r="B393" s="457"/>
      <c r="C393" s="457"/>
      <c r="D393" s="457"/>
      <c r="E393" s="457"/>
      <c r="F393" s="457"/>
    </row>
    <row r="394" spans="2:6" ht="12.75">
      <c r="B394" s="457"/>
      <c r="C394" s="457"/>
      <c r="D394" s="457"/>
      <c r="E394" s="457"/>
      <c r="F394" s="457"/>
    </row>
    <row r="395" spans="2:6" ht="12.75">
      <c r="B395" s="457"/>
      <c r="C395" s="457"/>
      <c r="D395" s="457"/>
      <c r="E395" s="457"/>
      <c r="F395" s="457"/>
    </row>
    <row r="396" spans="2:6" ht="12.75">
      <c r="B396" s="457"/>
      <c r="C396" s="457"/>
      <c r="D396" s="457"/>
      <c r="E396" s="457"/>
      <c r="F396" s="457"/>
    </row>
    <row r="397" spans="2:6" ht="12.75">
      <c r="B397" s="457"/>
      <c r="C397" s="457"/>
      <c r="D397" s="457"/>
      <c r="E397" s="457"/>
      <c r="F397" s="457"/>
    </row>
    <row r="398" spans="2:6" ht="12.75">
      <c r="B398" s="457"/>
      <c r="C398" s="457"/>
      <c r="D398" s="457"/>
      <c r="E398" s="457"/>
      <c r="F398" s="457"/>
    </row>
    <row r="399" spans="2:6" ht="12.75">
      <c r="B399" s="457"/>
      <c r="C399" s="457"/>
      <c r="D399" s="457"/>
      <c r="E399" s="457"/>
      <c r="F399" s="457"/>
    </row>
    <row r="400" spans="2:6" ht="12.75">
      <c r="B400" s="457"/>
      <c r="C400" s="457"/>
      <c r="D400" s="457"/>
      <c r="E400" s="457"/>
      <c r="F400" s="457"/>
    </row>
    <row r="401" spans="2:6" ht="12.75">
      <c r="B401" s="457"/>
      <c r="C401" s="457"/>
      <c r="D401" s="457"/>
      <c r="E401" s="457"/>
      <c r="F401" s="457"/>
    </row>
    <row r="402" spans="2:6" ht="12.75">
      <c r="B402" s="457"/>
      <c r="C402" s="457"/>
      <c r="D402" s="457"/>
      <c r="E402" s="457"/>
      <c r="F402" s="457"/>
    </row>
    <row r="403" spans="2:6" ht="12.75">
      <c r="B403" s="457"/>
      <c r="C403" s="457"/>
      <c r="D403" s="457"/>
      <c r="E403" s="457"/>
      <c r="F403" s="457"/>
    </row>
    <row r="404" spans="2:6" ht="12.75">
      <c r="B404" s="457"/>
      <c r="C404" s="457"/>
      <c r="D404" s="457"/>
      <c r="E404" s="457"/>
      <c r="F404" s="457"/>
    </row>
    <row r="405" spans="2:6" ht="12.75">
      <c r="B405" s="457"/>
      <c r="C405" s="457"/>
      <c r="D405" s="457"/>
      <c r="E405" s="457"/>
      <c r="F405" s="457"/>
    </row>
    <row r="406" spans="2:6" ht="12.75">
      <c r="B406" s="457"/>
      <c r="C406" s="457"/>
      <c r="D406" s="457"/>
      <c r="E406" s="457"/>
      <c r="F406" s="457"/>
    </row>
    <row r="407" spans="2:6" ht="12.75">
      <c r="B407" s="457"/>
      <c r="C407" s="457"/>
      <c r="D407" s="457"/>
      <c r="E407" s="457"/>
      <c r="F407" s="457"/>
    </row>
    <row r="408" spans="2:6" ht="12.75">
      <c r="B408" s="457"/>
      <c r="C408" s="457"/>
      <c r="D408" s="457"/>
      <c r="E408" s="457"/>
      <c r="F408" s="457"/>
    </row>
    <row r="409" spans="2:6" ht="12.75">
      <c r="B409" s="457"/>
      <c r="C409" s="457"/>
      <c r="D409" s="457"/>
      <c r="E409" s="457"/>
      <c r="F409" s="457"/>
    </row>
    <row r="410" spans="2:6" ht="12.75">
      <c r="B410" s="457"/>
      <c r="C410" s="457"/>
      <c r="D410" s="457"/>
      <c r="E410" s="457"/>
      <c r="F410" s="457"/>
    </row>
    <row r="411" spans="2:6" ht="12.75">
      <c r="B411" s="457"/>
      <c r="C411" s="457"/>
      <c r="D411" s="457"/>
      <c r="E411" s="457"/>
      <c r="F411" s="457"/>
    </row>
    <row r="412" spans="2:6" ht="12.75">
      <c r="B412" s="457"/>
      <c r="C412" s="457"/>
      <c r="D412" s="457"/>
      <c r="E412" s="457"/>
      <c r="F412" s="457"/>
    </row>
    <row r="413" spans="2:6" ht="12.75">
      <c r="B413" s="457"/>
      <c r="C413" s="457"/>
      <c r="D413" s="457"/>
      <c r="E413" s="457"/>
      <c r="F413" s="457"/>
    </row>
    <row r="414" spans="2:6" ht="12.75">
      <c r="B414" s="457"/>
      <c r="C414" s="457"/>
      <c r="D414" s="457"/>
      <c r="E414" s="457"/>
      <c r="F414" s="457"/>
    </row>
    <row r="415" spans="2:6" ht="12.75">
      <c r="B415" s="457"/>
      <c r="C415" s="457"/>
      <c r="D415" s="457"/>
      <c r="E415" s="457"/>
      <c r="F415" s="457"/>
    </row>
    <row r="416" spans="2:6" ht="12.75">
      <c r="B416" s="457"/>
      <c r="C416" s="457"/>
      <c r="D416" s="457"/>
      <c r="E416" s="457"/>
      <c r="F416" s="457"/>
    </row>
    <row r="417" spans="2:6" ht="12.75">
      <c r="B417" s="457"/>
      <c r="C417" s="457"/>
      <c r="D417" s="457"/>
      <c r="E417" s="457"/>
      <c r="F417" s="457"/>
    </row>
    <row r="418" spans="2:6" ht="12.75">
      <c r="B418" s="457"/>
      <c r="C418" s="457"/>
      <c r="D418" s="457"/>
      <c r="E418" s="457"/>
      <c r="F418" s="457"/>
    </row>
    <row r="419" spans="2:6" ht="12.75">
      <c r="B419" s="457"/>
      <c r="C419" s="457"/>
      <c r="D419" s="457"/>
      <c r="E419" s="457"/>
      <c r="F419" s="457"/>
    </row>
    <row r="420" spans="2:6" ht="12.75">
      <c r="B420" s="457"/>
      <c r="C420" s="457"/>
      <c r="D420" s="457"/>
      <c r="E420" s="457"/>
      <c r="F420" s="457"/>
    </row>
    <row r="421" spans="2:6" ht="12.75">
      <c r="B421" s="457"/>
      <c r="C421" s="457"/>
      <c r="D421" s="457"/>
      <c r="E421" s="457"/>
      <c r="F421" s="457"/>
    </row>
    <row r="422" spans="2:6" ht="12.75">
      <c r="B422" s="457"/>
      <c r="C422" s="457"/>
      <c r="D422" s="457"/>
      <c r="E422" s="457"/>
      <c r="F422" s="457"/>
    </row>
    <row r="423" spans="2:6" ht="12.75">
      <c r="B423" s="457"/>
      <c r="C423" s="457"/>
      <c r="D423" s="457"/>
      <c r="E423" s="457"/>
      <c r="F423" s="457"/>
    </row>
    <row r="424" spans="2:6" ht="12.75">
      <c r="B424" s="457"/>
      <c r="C424" s="457"/>
      <c r="D424" s="457"/>
      <c r="E424" s="457"/>
      <c r="F424" s="457"/>
    </row>
    <row r="425" spans="2:6" ht="12.75">
      <c r="B425" s="457"/>
      <c r="C425" s="457"/>
      <c r="D425" s="457"/>
      <c r="E425" s="457"/>
      <c r="F425" s="457"/>
    </row>
    <row r="426" spans="2:6" ht="12.75">
      <c r="B426" s="457"/>
      <c r="C426" s="457"/>
      <c r="D426" s="457"/>
      <c r="E426" s="457"/>
      <c r="F426" s="457"/>
    </row>
    <row r="427" spans="2:6" ht="12.75">
      <c r="B427" s="457"/>
      <c r="C427" s="457"/>
      <c r="D427" s="457"/>
      <c r="E427" s="457"/>
      <c r="F427" s="457"/>
    </row>
    <row r="428" spans="2:6" ht="12.75">
      <c r="B428" s="457"/>
      <c r="C428" s="457"/>
      <c r="D428" s="457"/>
      <c r="E428" s="457"/>
      <c r="F428" s="457"/>
    </row>
    <row r="429" spans="2:6" ht="12.75">
      <c r="B429" s="457"/>
      <c r="C429" s="457"/>
      <c r="D429" s="457"/>
      <c r="E429" s="457"/>
      <c r="F429" s="457"/>
    </row>
    <row r="430" spans="2:6" ht="12.75">
      <c r="B430" s="457"/>
      <c r="C430" s="457"/>
      <c r="D430" s="457"/>
      <c r="E430" s="457"/>
      <c r="F430" s="457"/>
    </row>
    <row r="431" spans="2:6" ht="12.75">
      <c r="B431" s="457"/>
      <c r="C431" s="457"/>
      <c r="D431" s="457"/>
      <c r="E431" s="457"/>
      <c r="F431" s="457"/>
    </row>
    <row r="432" spans="2:6" ht="12.75">
      <c r="B432" s="457"/>
      <c r="C432" s="457"/>
      <c r="D432" s="457"/>
      <c r="E432" s="457"/>
      <c r="F432" s="457"/>
    </row>
    <row r="433" spans="2:6" ht="12.75">
      <c r="B433" s="457"/>
      <c r="C433" s="457"/>
      <c r="D433" s="457"/>
      <c r="E433" s="457"/>
      <c r="F433" s="457"/>
    </row>
    <row r="434" spans="2:6" ht="12.75">
      <c r="B434" s="457"/>
      <c r="C434" s="457"/>
      <c r="D434" s="457"/>
      <c r="E434" s="457"/>
      <c r="F434" s="457"/>
    </row>
    <row r="435" spans="2:6" ht="12.75">
      <c r="B435" s="457"/>
      <c r="C435" s="457"/>
      <c r="D435" s="457"/>
      <c r="E435" s="457"/>
      <c r="F435" s="457"/>
    </row>
    <row r="436" spans="2:6" ht="12.75">
      <c r="B436" s="457"/>
      <c r="C436" s="457"/>
      <c r="D436" s="457"/>
      <c r="E436" s="457"/>
      <c r="F436" s="457"/>
    </row>
    <row r="437" spans="2:6" ht="12.75">
      <c r="B437" s="457"/>
      <c r="C437" s="457"/>
      <c r="D437" s="457"/>
      <c r="E437" s="457"/>
      <c r="F437" s="457"/>
    </row>
    <row r="438" spans="2:6" ht="12.75">
      <c r="B438" s="457"/>
      <c r="C438" s="457"/>
      <c r="D438" s="457"/>
      <c r="E438" s="457"/>
      <c r="F438" s="457"/>
    </row>
    <row r="439" spans="2:6" ht="12.75">
      <c r="B439" s="457"/>
      <c r="C439" s="457"/>
      <c r="D439" s="457"/>
      <c r="E439" s="457"/>
      <c r="F439" s="457"/>
    </row>
    <row r="440" spans="2:6" ht="12.75">
      <c r="B440" s="457"/>
      <c r="C440" s="457"/>
      <c r="D440" s="457"/>
      <c r="E440" s="457"/>
      <c r="F440" s="457"/>
    </row>
    <row r="441" spans="2:6" ht="12.75">
      <c r="B441" s="457"/>
      <c r="C441" s="457"/>
      <c r="D441" s="457"/>
      <c r="E441" s="457"/>
      <c r="F441" s="457"/>
    </row>
    <row r="442" spans="2:6" ht="12.75">
      <c r="B442" s="457"/>
      <c r="C442" s="457"/>
      <c r="D442" s="457"/>
      <c r="E442" s="457"/>
      <c r="F442" s="457"/>
    </row>
    <row r="443" spans="2:6" ht="12.75">
      <c r="B443" s="457"/>
      <c r="C443" s="457"/>
      <c r="D443" s="457"/>
      <c r="E443" s="457"/>
      <c r="F443" s="457"/>
    </row>
    <row r="444" spans="2:6" ht="12.75">
      <c r="B444" s="457"/>
      <c r="C444" s="457"/>
      <c r="D444" s="457"/>
      <c r="E444" s="457"/>
      <c r="F444" s="457"/>
    </row>
    <row r="445" spans="2:6" ht="12.75">
      <c r="B445" s="457"/>
      <c r="C445" s="457"/>
      <c r="D445" s="457"/>
      <c r="E445" s="457"/>
      <c r="F445" s="457"/>
    </row>
    <row r="446" spans="2:6" ht="12.75">
      <c r="B446" s="457"/>
      <c r="C446" s="457"/>
      <c r="D446" s="457"/>
      <c r="E446" s="457"/>
      <c r="F446" s="457"/>
    </row>
    <row r="447" spans="2:6" ht="12.75">
      <c r="B447" s="457"/>
      <c r="C447" s="457"/>
      <c r="D447" s="457"/>
      <c r="E447" s="457"/>
      <c r="F447" s="457"/>
    </row>
    <row r="448" spans="2:6" ht="12.75">
      <c r="B448" s="457"/>
      <c r="C448" s="457"/>
      <c r="D448" s="457"/>
      <c r="E448" s="457"/>
      <c r="F448" s="457"/>
    </row>
    <row r="449" spans="2:6" ht="12.75">
      <c r="B449" s="457"/>
      <c r="C449" s="457"/>
      <c r="D449" s="457"/>
      <c r="E449" s="457"/>
      <c r="F449" s="457"/>
    </row>
    <row r="450" spans="2:6" ht="12.75">
      <c r="B450" s="457"/>
      <c r="C450" s="457"/>
      <c r="D450" s="457"/>
      <c r="E450" s="457"/>
      <c r="F450" s="457"/>
    </row>
    <row r="451" spans="2:6" ht="12.75">
      <c r="B451" s="457"/>
      <c r="C451" s="457"/>
      <c r="D451" s="457"/>
      <c r="E451" s="457"/>
      <c r="F451" s="457"/>
    </row>
    <row r="452" spans="2:6" ht="12.75">
      <c r="B452" s="457"/>
      <c r="C452" s="457"/>
      <c r="D452" s="457"/>
      <c r="E452" s="457"/>
      <c r="F452" s="457"/>
    </row>
    <row r="453" spans="2:6" ht="12.75">
      <c r="B453" s="457"/>
      <c r="C453" s="457"/>
      <c r="D453" s="457"/>
      <c r="E453" s="457"/>
      <c r="F453" s="457"/>
    </row>
    <row r="454" spans="2:6" ht="12.75">
      <c r="B454" s="457"/>
      <c r="C454" s="457"/>
      <c r="D454" s="457"/>
      <c r="E454" s="457"/>
      <c r="F454" s="457"/>
    </row>
    <row r="455" spans="2:6" ht="12.75">
      <c r="B455" s="457"/>
      <c r="C455" s="457"/>
      <c r="D455" s="457"/>
      <c r="E455" s="457"/>
      <c r="F455" s="457"/>
    </row>
    <row r="456" spans="2:6" ht="12.75">
      <c r="B456" s="457"/>
      <c r="C456" s="457"/>
      <c r="D456" s="457"/>
      <c r="E456" s="457"/>
      <c r="F456" s="457"/>
    </row>
    <row r="457" spans="2:6" ht="12.75">
      <c r="B457" s="457"/>
      <c r="C457" s="457"/>
      <c r="D457" s="457"/>
      <c r="E457" s="457"/>
      <c r="F457" s="457"/>
    </row>
    <row r="458" spans="2:6" ht="12.75">
      <c r="B458" s="457"/>
      <c r="C458" s="457"/>
      <c r="D458" s="457"/>
      <c r="E458" s="457"/>
      <c r="F458" s="457"/>
    </row>
    <row r="459" spans="2:6" ht="12.75">
      <c r="B459" s="457"/>
      <c r="C459" s="457"/>
      <c r="D459" s="457"/>
      <c r="E459" s="457"/>
      <c r="F459" s="457"/>
    </row>
    <row r="460" spans="2:6" ht="12.75">
      <c r="B460" s="457"/>
      <c r="C460" s="457"/>
      <c r="D460" s="457"/>
      <c r="E460" s="457"/>
      <c r="F460" s="457"/>
    </row>
    <row r="461" spans="2:6" ht="12.75">
      <c r="B461" s="457"/>
      <c r="C461" s="457"/>
      <c r="D461" s="457"/>
      <c r="E461" s="457"/>
      <c r="F461" s="457"/>
    </row>
    <row r="462" spans="2:6" ht="12.75">
      <c r="B462" s="457"/>
      <c r="C462" s="457"/>
      <c r="D462" s="457"/>
      <c r="E462" s="457"/>
      <c r="F462" s="457"/>
    </row>
    <row r="463" spans="2:6" ht="12.75">
      <c r="B463" s="457"/>
      <c r="C463" s="457"/>
      <c r="D463" s="457"/>
      <c r="E463" s="457"/>
      <c r="F463" s="457"/>
    </row>
    <row r="464" spans="2:6" ht="12.75">
      <c r="B464" s="457"/>
      <c r="C464" s="457"/>
      <c r="D464" s="457"/>
      <c r="E464" s="457"/>
      <c r="F464" s="457"/>
    </row>
    <row r="465" spans="2:6" ht="12.75">
      <c r="B465" s="457"/>
      <c r="C465" s="457"/>
      <c r="D465" s="457"/>
      <c r="E465" s="457"/>
      <c r="F465" s="457"/>
    </row>
    <row r="466" spans="2:6" ht="12.75">
      <c r="B466" s="457"/>
      <c r="C466" s="457"/>
      <c r="D466" s="457"/>
      <c r="E466" s="457"/>
      <c r="F466" s="457"/>
    </row>
    <row r="467" spans="2:6" ht="12.75">
      <c r="B467" s="457"/>
      <c r="C467" s="457"/>
      <c r="D467" s="457"/>
      <c r="E467" s="457"/>
      <c r="F467" s="457"/>
    </row>
    <row r="468" spans="2:6" ht="12.75">
      <c r="B468" s="457"/>
      <c r="C468" s="457"/>
      <c r="D468" s="457"/>
      <c r="E468" s="457"/>
      <c r="F468" s="457"/>
    </row>
    <row r="469" spans="2:6" ht="12.75">
      <c r="B469" s="457"/>
      <c r="C469" s="457"/>
      <c r="D469" s="457"/>
      <c r="E469" s="457"/>
      <c r="F469" s="457"/>
    </row>
    <row r="470" spans="2:6" ht="12.75">
      <c r="B470" s="457"/>
      <c r="C470" s="457"/>
      <c r="D470" s="457"/>
      <c r="E470" s="457"/>
      <c r="F470" s="457"/>
    </row>
    <row r="471" spans="2:6" ht="12.75">
      <c r="B471" s="457"/>
      <c r="C471" s="457"/>
      <c r="D471" s="457"/>
      <c r="E471" s="457"/>
      <c r="F471" s="457"/>
    </row>
    <row r="472" spans="2:6" ht="12.75">
      <c r="B472" s="457"/>
      <c r="C472" s="457"/>
      <c r="D472" s="457"/>
      <c r="E472" s="457"/>
      <c r="F472" s="457"/>
    </row>
    <row r="473" spans="2:6" ht="12.75">
      <c r="B473" s="457"/>
      <c r="C473" s="457"/>
      <c r="D473" s="457"/>
      <c r="E473" s="457"/>
      <c r="F473" s="457"/>
    </row>
    <row r="474" spans="2:6" ht="12.75">
      <c r="B474" s="457"/>
      <c r="C474" s="457"/>
      <c r="D474" s="457"/>
      <c r="E474" s="457"/>
      <c r="F474" s="457"/>
    </row>
    <row r="475" spans="2:6" ht="12.75">
      <c r="B475" s="457"/>
      <c r="C475" s="457"/>
      <c r="D475" s="457"/>
      <c r="E475" s="457"/>
      <c r="F475" s="457"/>
    </row>
    <row r="476" spans="2:6" ht="12.75">
      <c r="B476" s="457"/>
      <c r="C476" s="457"/>
      <c r="D476" s="457"/>
      <c r="E476" s="457"/>
      <c r="F476" s="457"/>
    </row>
    <row r="477" spans="2:6" ht="12.75">
      <c r="B477" s="457"/>
      <c r="C477" s="457"/>
      <c r="D477" s="457"/>
      <c r="E477" s="457"/>
      <c r="F477" s="457"/>
    </row>
    <row r="478" spans="2:6" ht="12.75">
      <c r="B478" s="457"/>
      <c r="C478" s="457"/>
      <c r="D478" s="457"/>
      <c r="E478" s="457"/>
      <c r="F478" s="457"/>
    </row>
    <row r="479" spans="2:6" ht="12.75">
      <c r="B479" s="457"/>
      <c r="C479" s="457"/>
      <c r="D479" s="457"/>
      <c r="E479" s="457"/>
      <c r="F479" s="457"/>
    </row>
    <row r="480" spans="2:6" ht="12.75">
      <c r="B480" s="457"/>
      <c r="C480" s="457"/>
      <c r="D480" s="457"/>
      <c r="E480" s="457"/>
      <c r="F480" s="457"/>
    </row>
    <row r="481" spans="2:6" ht="12.75">
      <c r="B481" s="457"/>
      <c r="C481" s="457"/>
      <c r="D481" s="457"/>
      <c r="E481" s="457"/>
      <c r="F481" s="457"/>
    </row>
    <row r="482" spans="2:6" ht="12.75">
      <c r="B482" s="457"/>
      <c r="C482" s="457"/>
      <c r="D482" s="457"/>
      <c r="E482" s="457"/>
      <c r="F482" s="457"/>
    </row>
    <row r="483" spans="2:6" ht="12.75">
      <c r="B483" s="457"/>
      <c r="C483" s="457"/>
      <c r="D483" s="457"/>
      <c r="E483" s="457"/>
      <c r="F483" s="457"/>
    </row>
    <row r="484" spans="2:6" ht="12.75">
      <c r="B484" s="457"/>
      <c r="C484" s="457"/>
      <c r="D484" s="457"/>
      <c r="E484" s="457"/>
      <c r="F484" s="457"/>
    </row>
    <row r="485" spans="2:6" ht="12.75">
      <c r="B485" s="457"/>
      <c r="C485" s="457"/>
      <c r="D485" s="457"/>
      <c r="E485" s="457"/>
      <c r="F485" s="457"/>
    </row>
    <row r="486" spans="2:6" ht="12.75">
      <c r="B486" s="457"/>
      <c r="C486" s="457"/>
      <c r="D486" s="457"/>
      <c r="E486" s="457"/>
      <c r="F486" s="457"/>
    </row>
    <row r="487" spans="2:6" ht="12.75">
      <c r="B487" s="457"/>
      <c r="C487" s="457"/>
      <c r="D487" s="457"/>
      <c r="E487" s="457"/>
      <c r="F487" s="457"/>
    </row>
    <row r="488" spans="2:6" ht="12.75">
      <c r="B488" s="457"/>
      <c r="C488" s="457"/>
      <c r="D488" s="457"/>
      <c r="E488" s="457"/>
      <c r="F488" s="457"/>
    </row>
    <row r="489" spans="2:6" ht="12.75">
      <c r="B489" s="457"/>
      <c r="C489" s="457"/>
      <c r="D489" s="457"/>
      <c r="E489" s="457"/>
      <c r="F489" s="457"/>
    </row>
    <row r="490" spans="2:6" ht="12.75">
      <c r="B490" s="457"/>
      <c r="C490" s="457"/>
      <c r="D490" s="457"/>
      <c r="E490" s="457"/>
      <c r="F490" s="457"/>
    </row>
    <row r="491" spans="2:6" ht="12.75">
      <c r="B491" s="457"/>
      <c r="C491" s="457"/>
      <c r="D491" s="457"/>
      <c r="E491" s="457"/>
      <c r="F491" s="457"/>
    </row>
    <row r="492" spans="2:6" ht="12.75">
      <c r="B492" s="457"/>
      <c r="C492" s="457"/>
      <c r="D492" s="457"/>
      <c r="E492" s="457"/>
      <c r="F492" s="457"/>
    </row>
    <row r="493" spans="2:6" ht="12.75">
      <c r="B493" s="457"/>
      <c r="C493" s="457"/>
      <c r="D493" s="457"/>
      <c r="E493" s="457"/>
      <c r="F493" s="457"/>
    </row>
    <row r="494" spans="2:6" ht="12.75">
      <c r="B494" s="457"/>
      <c r="C494" s="457"/>
      <c r="D494" s="457"/>
      <c r="E494" s="457"/>
      <c r="F494" s="457"/>
    </row>
    <row r="495" spans="2:6" ht="12.75">
      <c r="B495" s="457"/>
      <c r="C495" s="457"/>
      <c r="D495" s="457"/>
      <c r="E495" s="457"/>
      <c r="F495" s="457"/>
    </row>
    <row r="496" spans="2:6" ht="12.75">
      <c r="B496" s="457"/>
      <c r="C496" s="457"/>
      <c r="D496" s="457"/>
      <c r="E496" s="457"/>
      <c r="F496" s="457"/>
    </row>
    <row r="497" spans="2:6" ht="12.75">
      <c r="B497" s="457"/>
      <c r="C497" s="457"/>
      <c r="D497" s="457"/>
      <c r="E497" s="457"/>
      <c r="F497" s="457"/>
    </row>
    <row r="498" spans="2:6" ht="12.75">
      <c r="B498" s="457"/>
      <c r="C498" s="457"/>
      <c r="D498" s="457"/>
      <c r="E498" s="457"/>
      <c r="F498" s="457"/>
    </row>
    <row r="499" spans="2:6" ht="12.75">
      <c r="B499" s="457"/>
      <c r="C499" s="457"/>
      <c r="D499" s="457"/>
      <c r="E499" s="457"/>
      <c r="F499" s="457"/>
    </row>
    <row r="500" spans="2:6" ht="12.75">
      <c r="B500" s="457"/>
      <c r="C500" s="457"/>
      <c r="D500" s="457"/>
      <c r="E500" s="457"/>
      <c r="F500" s="457"/>
    </row>
    <row r="501" spans="2:6" ht="12.75">
      <c r="B501" s="457"/>
      <c r="C501" s="457"/>
      <c r="D501" s="457"/>
      <c r="E501" s="457"/>
      <c r="F501" s="457"/>
    </row>
    <row r="502" spans="2:6" ht="12.75">
      <c r="B502" s="457"/>
      <c r="C502" s="457"/>
      <c r="D502" s="457"/>
      <c r="E502" s="457"/>
      <c r="F502" s="457"/>
    </row>
    <row r="503" spans="2:6" ht="12.75">
      <c r="B503" s="457"/>
      <c r="C503" s="457"/>
      <c r="D503" s="457"/>
      <c r="E503" s="457"/>
      <c r="F503" s="457"/>
    </row>
    <row r="504" spans="2:6" ht="12.75">
      <c r="B504" s="457"/>
      <c r="C504" s="457"/>
      <c r="D504" s="457"/>
      <c r="E504" s="457"/>
      <c r="F504" s="457"/>
    </row>
    <row r="505" spans="2:6" ht="12.75">
      <c r="B505" s="457"/>
      <c r="C505" s="457"/>
      <c r="D505" s="457"/>
      <c r="E505" s="457"/>
      <c r="F505" s="457"/>
    </row>
    <row r="506" spans="2:6" ht="12.75">
      <c r="B506" s="457"/>
      <c r="C506" s="457"/>
      <c r="D506" s="457"/>
      <c r="E506" s="457"/>
      <c r="F506" s="457"/>
    </row>
    <row r="507" spans="2:6" ht="12.75">
      <c r="B507" s="457"/>
      <c r="C507" s="457"/>
      <c r="D507" s="457"/>
      <c r="E507" s="457"/>
      <c r="F507" s="457"/>
    </row>
    <row r="508" spans="2:6" ht="12.75">
      <c r="B508" s="457"/>
      <c r="C508" s="457"/>
      <c r="D508" s="457"/>
      <c r="E508" s="457"/>
      <c r="F508" s="457"/>
    </row>
    <row r="509" spans="2:6" ht="12.75">
      <c r="B509" s="457"/>
      <c r="C509" s="457"/>
      <c r="D509" s="457"/>
      <c r="E509" s="457"/>
      <c r="F509" s="457"/>
    </row>
    <row r="510" spans="2:6" ht="12.75">
      <c r="B510" s="457"/>
      <c r="C510" s="457"/>
      <c r="D510" s="457"/>
      <c r="E510" s="457"/>
      <c r="F510" s="457"/>
    </row>
    <row r="511" spans="2:6" ht="12.75">
      <c r="B511" s="457"/>
      <c r="C511" s="457"/>
      <c r="D511" s="457"/>
      <c r="E511" s="457"/>
      <c r="F511" s="457"/>
    </row>
    <row r="512" spans="2:6" ht="12.75">
      <c r="B512" s="457"/>
      <c r="C512" s="457"/>
      <c r="D512" s="457"/>
      <c r="E512" s="457"/>
      <c r="F512" s="457"/>
    </row>
    <row r="513" spans="2:6" ht="12.75">
      <c r="B513" s="457"/>
      <c r="C513" s="457"/>
      <c r="D513" s="457"/>
      <c r="E513" s="457"/>
      <c r="F513" s="457"/>
    </row>
    <row r="514" spans="2:6" ht="12.75">
      <c r="B514" s="457"/>
      <c r="C514" s="457"/>
      <c r="D514" s="457"/>
      <c r="E514" s="457"/>
      <c r="F514" s="457"/>
    </row>
    <row r="515" spans="2:6" ht="12.75">
      <c r="B515" s="457"/>
      <c r="C515" s="457"/>
      <c r="D515" s="457"/>
      <c r="E515" s="457"/>
      <c r="F515" s="457"/>
    </row>
    <row r="516" spans="2:6" ht="12.75">
      <c r="B516" s="457"/>
      <c r="C516" s="457"/>
      <c r="D516" s="457"/>
      <c r="E516" s="457"/>
      <c r="F516" s="457"/>
    </row>
    <row r="517" spans="2:6" ht="12.75">
      <c r="B517" s="457"/>
      <c r="C517" s="457"/>
      <c r="D517" s="457"/>
      <c r="E517" s="457"/>
      <c r="F517" s="457"/>
    </row>
    <row r="518" spans="2:6" ht="12.75">
      <c r="B518" s="457"/>
      <c r="C518" s="457"/>
      <c r="D518" s="457"/>
      <c r="E518" s="457"/>
      <c r="F518" s="457"/>
    </row>
    <row r="519" spans="2:6" ht="12.75">
      <c r="B519" s="457"/>
      <c r="C519" s="457"/>
      <c r="D519" s="457"/>
      <c r="E519" s="457"/>
      <c r="F519" s="457"/>
    </row>
    <row r="520" spans="2:6" ht="12.75">
      <c r="B520" s="457"/>
      <c r="C520" s="457"/>
      <c r="D520" s="457"/>
      <c r="E520" s="457"/>
      <c r="F520" s="457"/>
    </row>
    <row r="521" spans="2:6" ht="12.75">
      <c r="B521" s="457"/>
      <c r="C521" s="457"/>
      <c r="D521" s="457"/>
      <c r="E521" s="457"/>
      <c r="F521" s="457"/>
    </row>
    <row r="522" spans="2:6" ht="12.75">
      <c r="B522" s="457"/>
      <c r="C522" s="457"/>
      <c r="D522" s="457"/>
      <c r="E522" s="457"/>
      <c r="F522" s="457"/>
    </row>
    <row r="523" spans="2:6" ht="12.75">
      <c r="B523" s="457"/>
      <c r="C523" s="457"/>
      <c r="D523" s="457"/>
      <c r="E523" s="457"/>
      <c r="F523" s="457"/>
    </row>
    <row r="524" spans="2:6" ht="12.75">
      <c r="B524" s="457"/>
      <c r="C524" s="457"/>
      <c r="D524" s="457"/>
      <c r="E524" s="457"/>
      <c r="F524" s="457"/>
    </row>
    <row r="525" spans="2:6" ht="12.75">
      <c r="B525" s="457"/>
      <c r="C525" s="457"/>
      <c r="D525" s="457"/>
      <c r="E525" s="457"/>
      <c r="F525" s="457"/>
    </row>
    <row r="526" spans="2:6" ht="12.75">
      <c r="B526" s="457"/>
      <c r="C526" s="457"/>
      <c r="D526" s="457"/>
      <c r="E526" s="457"/>
      <c r="F526" s="457"/>
    </row>
    <row r="527" spans="2:6" ht="12.75">
      <c r="B527" s="457"/>
      <c r="C527" s="457"/>
      <c r="D527" s="457"/>
      <c r="E527" s="457"/>
      <c r="F527" s="457"/>
    </row>
    <row r="528" spans="2:6" ht="12.75">
      <c r="B528" s="457"/>
      <c r="C528" s="457"/>
      <c r="D528" s="457"/>
      <c r="E528" s="457"/>
      <c r="F528" s="457"/>
    </row>
    <row r="529" spans="2:6" ht="12.75">
      <c r="B529" s="457"/>
      <c r="C529" s="457"/>
      <c r="D529" s="457"/>
      <c r="E529" s="457"/>
      <c r="F529" s="457"/>
    </row>
    <row r="530" spans="2:6" ht="12.75">
      <c r="B530" s="457"/>
      <c r="C530" s="457"/>
      <c r="D530" s="457"/>
      <c r="E530" s="457"/>
      <c r="F530" s="457"/>
    </row>
    <row r="531" spans="2:6" ht="12.75">
      <c r="B531" s="457"/>
      <c r="C531" s="457"/>
      <c r="D531" s="457"/>
      <c r="E531" s="457"/>
      <c r="F531" s="457"/>
    </row>
    <row r="532" spans="2:6" ht="12.75">
      <c r="B532" s="457"/>
      <c r="C532" s="457"/>
      <c r="D532" s="457"/>
      <c r="E532" s="457"/>
      <c r="F532" s="457"/>
    </row>
    <row r="533" spans="2:6" ht="12.75">
      <c r="B533" s="457"/>
      <c r="C533" s="457"/>
      <c r="D533" s="457"/>
      <c r="E533" s="457"/>
      <c r="F533" s="457"/>
    </row>
    <row r="534" spans="2:6" ht="12.75">
      <c r="B534" s="457"/>
      <c r="C534" s="457"/>
      <c r="D534" s="457"/>
      <c r="E534" s="457"/>
      <c r="F534" s="457"/>
    </row>
    <row r="535" spans="2:6" ht="12.75">
      <c r="B535" s="457"/>
      <c r="C535" s="457"/>
      <c r="D535" s="457"/>
      <c r="E535" s="457"/>
      <c r="F535" s="457"/>
    </row>
    <row r="536" spans="2:6" ht="12.75">
      <c r="B536" s="457"/>
      <c r="C536" s="457"/>
      <c r="D536" s="457"/>
      <c r="E536" s="457"/>
      <c r="F536" s="457"/>
    </row>
    <row r="537" spans="2:6" ht="12.75">
      <c r="B537" s="457"/>
      <c r="C537" s="457"/>
      <c r="D537" s="457"/>
      <c r="E537" s="457"/>
      <c r="F537" s="457"/>
    </row>
    <row r="538" spans="2:6" ht="12.75">
      <c r="B538" s="457"/>
      <c r="C538" s="457"/>
      <c r="D538" s="457"/>
      <c r="E538" s="457"/>
      <c r="F538" s="457"/>
    </row>
    <row r="539" spans="2:6" ht="12.75">
      <c r="B539" s="457"/>
      <c r="C539" s="457"/>
      <c r="D539" s="457"/>
      <c r="E539" s="457"/>
      <c r="F539" s="457"/>
    </row>
    <row r="540" spans="2:6" ht="12.75">
      <c r="B540" s="457"/>
      <c r="C540" s="457"/>
      <c r="D540" s="457"/>
      <c r="E540" s="457"/>
      <c r="F540" s="457"/>
    </row>
    <row r="541" spans="2:6" ht="12.75">
      <c r="B541" s="457"/>
      <c r="C541" s="457"/>
      <c r="D541" s="457"/>
      <c r="E541" s="457"/>
      <c r="F541" s="457"/>
    </row>
    <row r="542" spans="2:6" ht="12.75">
      <c r="B542" s="457"/>
      <c r="C542" s="457"/>
      <c r="D542" s="457"/>
      <c r="E542" s="457"/>
      <c r="F542" s="457"/>
    </row>
    <row r="543" spans="2:6" ht="12.75">
      <c r="B543" s="457"/>
      <c r="C543" s="457"/>
      <c r="D543" s="457"/>
      <c r="E543" s="457"/>
      <c r="F543" s="457"/>
    </row>
    <row r="544" spans="2:6" ht="12.75">
      <c r="B544" s="457"/>
      <c r="C544" s="457"/>
      <c r="D544" s="457"/>
      <c r="E544" s="457"/>
      <c r="F544" s="457"/>
    </row>
    <row r="545" spans="2:6" ht="12.75">
      <c r="B545" s="457"/>
      <c r="C545" s="457"/>
      <c r="D545" s="457"/>
      <c r="E545" s="457"/>
      <c r="F545" s="457"/>
    </row>
    <row r="546" spans="2:6" ht="12.75">
      <c r="B546" s="457"/>
      <c r="C546" s="457"/>
      <c r="D546" s="457"/>
      <c r="E546" s="457"/>
      <c r="F546" s="457"/>
    </row>
    <row r="547" spans="2:6" ht="12.75">
      <c r="B547" s="457"/>
      <c r="C547" s="457"/>
      <c r="D547" s="457"/>
      <c r="E547" s="457"/>
      <c r="F547" s="457"/>
    </row>
    <row r="548" spans="2:6" ht="12.75">
      <c r="B548" s="457"/>
      <c r="C548" s="457"/>
      <c r="D548" s="457"/>
      <c r="E548" s="457"/>
      <c r="F548" s="457"/>
    </row>
    <row r="549" spans="2:6" ht="12.75">
      <c r="B549" s="457"/>
      <c r="C549" s="457"/>
      <c r="D549" s="457"/>
      <c r="E549" s="457"/>
      <c r="F549" s="457"/>
    </row>
    <row r="550" spans="2:6" ht="12.75">
      <c r="B550" s="457"/>
      <c r="C550" s="457"/>
      <c r="D550" s="457"/>
      <c r="E550" s="457"/>
      <c r="F550" s="457"/>
    </row>
    <row r="551" spans="2:6" ht="12.75">
      <c r="B551" s="457"/>
      <c r="C551" s="457"/>
      <c r="D551" s="457"/>
      <c r="E551" s="457"/>
      <c r="F551" s="457"/>
    </row>
    <row r="552" spans="2:6" ht="12.75">
      <c r="B552" s="457"/>
      <c r="C552" s="457"/>
      <c r="D552" s="457"/>
      <c r="E552" s="457"/>
      <c r="F552" s="457"/>
    </row>
    <row r="553" spans="2:6" ht="12.75">
      <c r="B553" s="457"/>
      <c r="C553" s="457"/>
      <c r="D553" s="457"/>
      <c r="E553" s="457"/>
      <c r="F553" s="457"/>
    </row>
    <row r="554" spans="2:6" ht="12.75">
      <c r="B554" s="457"/>
      <c r="C554" s="457"/>
      <c r="D554" s="457"/>
      <c r="E554" s="457"/>
      <c r="F554" s="457"/>
    </row>
    <row r="555" spans="2:6" ht="12.75">
      <c r="B555" s="457"/>
      <c r="C555" s="457"/>
      <c r="D555" s="457"/>
      <c r="E555" s="457"/>
      <c r="F555" s="457"/>
    </row>
    <row r="556" spans="2:6" ht="12.75">
      <c r="B556" s="457"/>
      <c r="C556" s="457"/>
      <c r="D556" s="457"/>
      <c r="E556" s="457"/>
      <c r="F556" s="457"/>
    </row>
    <row r="557" spans="2:6" ht="12.75">
      <c r="B557" s="457"/>
      <c r="C557" s="457"/>
      <c r="D557" s="457"/>
      <c r="E557" s="457"/>
      <c r="F557" s="457"/>
    </row>
    <row r="558" spans="2:6" ht="12.75">
      <c r="B558" s="457"/>
      <c r="C558" s="457"/>
      <c r="D558" s="457"/>
      <c r="E558" s="457"/>
      <c r="F558" s="457"/>
    </row>
    <row r="559" spans="2:6" ht="12.75">
      <c r="B559" s="457"/>
      <c r="C559" s="457"/>
      <c r="D559" s="457"/>
      <c r="E559" s="457"/>
      <c r="F559" s="457"/>
    </row>
    <row r="560" spans="2:6" ht="12.75">
      <c r="B560" s="457"/>
      <c r="C560" s="457"/>
      <c r="D560" s="457"/>
      <c r="E560" s="457"/>
      <c r="F560" s="457"/>
    </row>
    <row r="561" spans="2:6" ht="12.75">
      <c r="B561" s="457"/>
      <c r="C561" s="457"/>
      <c r="D561" s="457"/>
      <c r="E561" s="457"/>
      <c r="F561" s="457"/>
    </row>
    <row r="562" spans="2:6" ht="12.75">
      <c r="B562" s="457"/>
      <c r="C562" s="457"/>
      <c r="D562" s="457"/>
      <c r="E562" s="457"/>
      <c r="F562" s="457"/>
    </row>
    <row r="563" spans="2:6" ht="12.75">
      <c r="B563" s="457"/>
      <c r="C563" s="457"/>
      <c r="D563" s="457"/>
      <c r="E563" s="457"/>
      <c r="F563" s="457"/>
    </row>
    <row r="564" spans="2:6" ht="12.75">
      <c r="B564" s="457"/>
      <c r="C564" s="457"/>
      <c r="D564" s="457"/>
      <c r="E564" s="457"/>
      <c r="F564" s="457"/>
    </row>
    <row r="565" spans="2:6" ht="12.75">
      <c r="B565" s="457"/>
      <c r="C565" s="457"/>
      <c r="D565" s="457"/>
      <c r="E565" s="457"/>
      <c r="F565" s="457"/>
    </row>
    <row r="566" spans="2:6" ht="12.75">
      <c r="B566" s="457"/>
      <c r="C566" s="457"/>
      <c r="D566" s="457"/>
      <c r="E566" s="457"/>
      <c r="F566" s="457"/>
    </row>
    <row r="567" spans="2:6" ht="12.75">
      <c r="B567" s="457"/>
      <c r="C567" s="457"/>
      <c r="D567" s="457"/>
      <c r="E567" s="457"/>
      <c r="F567" s="457"/>
    </row>
    <row r="568" spans="2:6" ht="12.75">
      <c r="B568" s="457"/>
      <c r="C568" s="457"/>
      <c r="D568" s="457"/>
      <c r="E568" s="457"/>
      <c r="F568" s="457"/>
    </row>
    <row r="569" spans="2:6" ht="12.75">
      <c r="B569" s="457"/>
      <c r="C569" s="457"/>
      <c r="D569" s="457"/>
      <c r="E569" s="457"/>
      <c r="F569" s="457"/>
    </row>
    <row r="570" spans="2:6" ht="12.75">
      <c r="B570" s="457"/>
      <c r="C570" s="457"/>
      <c r="D570" s="457"/>
      <c r="E570" s="457"/>
      <c r="F570" s="457"/>
    </row>
    <row r="571" spans="2:6" ht="12.75">
      <c r="B571" s="457"/>
      <c r="C571" s="457"/>
      <c r="D571" s="457"/>
      <c r="E571" s="457"/>
      <c r="F571" s="457"/>
    </row>
    <row r="572" spans="2:6" ht="12.75">
      <c r="B572" s="457"/>
      <c r="C572" s="457"/>
      <c r="D572" s="457"/>
      <c r="E572" s="457"/>
      <c r="F572" s="457"/>
    </row>
    <row r="573" spans="2:6" ht="12.75">
      <c r="B573" s="457"/>
      <c r="C573" s="457"/>
      <c r="D573" s="457"/>
      <c r="E573" s="457"/>
      <c r="F573" s="457"/>
    </row>
    <row r="574" spans="2:6" ht="12.75">
      <c r="B574" s="457"/>
      <c r="C574" s="457"/>
      <c r="D574" s="457"/>
      <c r="E574" s="457"/>
      <c r="F574" s="457"/>
    </row>
    <row r="575" spans="2:6" ht="12.75">
      <c r="B575" s="457"/>
      <c r="C575" s="457"/>
      <c r="D575" s="457"/>
      <c r="E575" s="457"/>
      <c r="F575" s="457"/>
    </row>
    <row r="576" spans="2:6" ht="12.75">
      <c r="B576" s="457"/>
      <c r="C576" s="457"/>
      <c r="D576" s="457"/>
      <c r="E576" s="457"/>
      <c r="F576" s="457"/>
    </row>
    <row r="577" spans="2:6" ht="12.75">
      <c r="B577" s="457"/>
      <c r="C577" s="457"/>
      <c r="D577" s="457"/>
      <c r="E577" s="457"/>
      <c r="F577" s="457"/>
    </row>
    <row r="578" spans="2:6" ht="12.75">
      <c r="B578" s="457"/>
      <c r="C578" s="457"/>
      <c r="D578" s="457"/>
      <c r="E578" s="457"/>
      <c r="F578" s="457"/>
    </row>
    <row r="579" spans="2:6" ht="12.75">
      <c r="B579" s="457"/>
      <c r="C579" s="457"/>
      <c r="D579" s="457"/>
      <c r="E579" s="457"/>
      <c r="F579" s="457"/>
    </row>
    <row r="580" spans="2:6" ht="12.75">
      <c r="B580" s="457"/>
      <c r="C580" s="457"/>
      <c r="D580" s="457"/>
      <c r="E580" s="457"/>
      <c r="F580" s="457"/>
    </row>
    <row r="581" spans="2:6" ht="12.75">
      <c r="B581" s="457"/>
      <c r="C581" s="457"/>
      <c r="D581" s="457"/>
      <c r="E581" s="457"/>
      <c r="F581" s="457"/>
    </row>
    <row r="582" spans="2:6" ht="12.75">
      <c r="B582" s="457"/>
      <c r="C582" s="457"/>
      <c r="D582" s="457"/>
      <c r="E582" s="457"/>
      <c r="F582" s="457"/>
    </row>
    <row r="583" spans="2:6" ht="12.75">
      <c r="B583" s="457"/>
      <c r="C583" s="457"/>
      <c r="D583" s="457"/>
      <c r="E583" s="457"/>
      <c r="F583" s="457"/>
    </row>
    <row r="584" spans="2:6" ht="12.75">
      <c r="B584" s="457"/>
      <c r="C584" s="457"/>
      <c r="D584" s="457"/>
      <c r="E584" s="457"/>
      <c r="F584" s="457"/>
    </row>
    <row r="585" spans="2:6" ht="12.75">
      <c r="B585" s="457"/>
      <c r="C585" s="457"/>
      <c r="D585" s="457"/>
      <c r="E585" s="457"/>
      <c r="F585" s="457"/>
    </row>
    <row r="586" spans="2:6" ht="12.75">
      <c r="B586" s="457"/>
      <c r="C586" s="457"/>
      <c r="D586" s="457"/>
      <c r="E586" s="457"/>
      <c r="F586" s="457"/>
    </row>
    <row r="587" spans="2:6" ht="12.75">
      <c r="B587" s="457"/>
      <c r="C587" s="457"/>
      <c r="D587" s="457"/>
      <c r="E587" s="457"/>
      <c r="F587" s="457"/>
    </row>
    <row r="588" spans="2:6" ht="12.75">
      <c r="B588" s="457"/>
      <c r="C588" s="457"/>
      <c r="D588" s="457"/>
      <c r="E588" s="457"/>
      <c r="F588" s="457"/>
    </row>
  </sheetData>
  <sheetProtection/>
  <printOptions horizontalCentered="1"/>
  <pageMargins left="0.3937007874015748" right="0.3937007874015748" top="0.7874015748031497" bottom="0.7874015748031497" header="0.5118110236220472" footer="0.5118110236220472"/>
  <pageSetup fitToHeight="1" fitToWidth="1" horizontalDpi="600" verticalDpi="600" orientation="portrait" paperSize="9" scale="47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Q35"/>
  <sheetViews>
    <sheetView zoomScalePageLayoutView="0" workbookViewId="0" topLeftCell="A1">
      <pane xSplit="2" ySplit="5" topLeftCell="J6" activePane="bottomRight" state="frozen"/>
      <selection pane="topLeft" activeCell="A64" sqref="A64"/>
      <selection pane="topRight" activeCell="A64" sqref="A64"/>
      <selection pane="bottomLeft" activeCell="A64" sqref="A64"/>
      <selection pane="bottomRight" activeCell="A64" sqref="A64"/>
    </sheetView>
  </sheetViews>
  <sheetFormatPr defaultColWidth="9.140625" defaultRowHeight="14.25" customHeight="1"/>
  <cols>
    <col min="1" max="1" width="7.00390625" style="1" customWidth="1"/>
    <col min="2" max="2" width="70.7109375" style="1" customWidth="1"/>
    <col min="3" max="14" width="11.7109375" style="1" customWidth="1"/>
    <col min="15" max="15" width="14.7109375" style="1" customWidth="1"/>
    <col min="16" max="16" width="16.28125" style="1" customWidth="1"/>
    <col min="17" max="16384" width="9.140625" style="1" customWidth="1"/>
  </cols>
  <sheetData>
    <row r="3" ht="14.25" customHeight="1">
      <c r="A3" s="80" t="s">
        <v>58</v>
      </c>
    </row>
    <row r="4" ht="14.25" customHeight="1">
      <c r="O4" s="2" t="s">
        <v>3</v>
      </c>
    </row>
    <row r="5" spans="1:15" ht="33.75" customHeight="1">
      <c r="A5" s="14" t="s">
        <v>59</v>
      </c>
      <c r="B5" s="6" t="s">
        <v>1</v>
      </c>
      <c r="C5" s="15" t="s">
        <v>78</v>
      </c>
      <c r="D5" s="15" t="s">
        <v>79</v>
      </c>
      <c r="E5" s="15" t="s">
        <v>80</v>
      </c>
      <c r="F5" s="15" t="s">
        <v>81</v>
      </c>
      <c r="G5" s="15" t="s">
        <v>82</v>
      </c>
      <c r="H5" s="15" t="s">
        <v>83</v>
      </c>
      <c r="I5" s="15" t="s">
        <v>84</v>
      </c>
      <c r="J5" s="15" t="s">
        <v>85</v>
      </c>
      <c r="K5" s="15" t="s">
        <v>86</v>
      </c>
      <c r="L5" s="15" t="s">
        <v>96</v>
      </c>
      <c r="M5" s="15" t="s">
        <v>97</v>
      </c>
      <c r="N5" s="15" t="s">
        <v>155</v>
      </c>
      <c r="O5" s="15" t="s">
        <v>158</v>
      </c>
    </row>
    <row r="6" spans="1:16" ht="18.75" customHeight="1">
      <c r="A6" s="3"/>
      <c r="B6" s="11" t="s">
        <v>60</v>
      </c>
      <c r="C6" s="81">
        <f aca="true" t="shared" si="0" ref="C6:K6">+C7+C12+C13+C14+C17</f>
        <v>466920</v>
      </c>
      <c r="D6" s="81">
        <f t="shared" si="0"/>
        <v>458012</v>
      </c>
      <c r="E6" s="81">
        <f t="shared" si="0"/>
        <v>448341</v>
      </c>
      <c r="F6" s="81">
        <f t="shared" si="0"/>
        <v>460481</v>
      </c>
      <c r="G6" s="81">
        <f t="shared" si="0"/>
        <v>473869</v>
      </c>
      <c r="H6" s="81">
        <f t="shared" si="0"/>
        <v>473680</v>
      </c>
      <c r="I6" s="81">
        <f t="shared" si="0"/>
        <v>485721</v>
      </c>
      <c r="J6" s="81">
        <f t="shared" si="0"/>
        <v>480170</v>
      </c>
      <c r="K6" s="81">
        <f t="shared" si="0"/>
        <v>468473</v>
      </c>
      <c r="L6" s="81">
        <f>+L7+L12+L13+L14+L17</f>
        <v>480952</v>
      </c>
      <c r="M6" s="81">
        <f>+M7+M12+M13+M14+M17</f>
        <v>485798</v>
      </c>
      <c r="N6" s="81">
        <f>+N7+N12+N13+N14+N17</f>
        <v>595152</v>
      </c>
      <c r="O6" s="81">
        <f>SUM(C6:N6)</f>
        <v>5777569</v>
      </c>
      <c r="P6" s="9"/>
    </row>
    <row r="7" spans="1:17" ht="18.75" customHeight="1">
      <c r="A7" s="4"/>
      <c r="B7" s="11" t="s">
        <v>206</v>
      </c>
      <c r="C7" s="81">
        <f>+C9+C10+C11+C15+C16+C18+C19+C20+C21</f>
        <v>430493</v>
      </c>
      <c r="D7" s="81">
        <f aca="true" t="shared" si="1" ref="D7:O7">+D9+D10+D11+D15+D16+D18+D19+D20+D21</f>
        <v>439570</v>
      </c>
      <c r="E7" s="81">
        <f t="shared" si="1"/>
        <v>424907</v>
      </c>
      <c r="F7" s="81">
        <f t="shared" si="1"/>
        <v>438081</v>
      </c>
      <c r="G7" s="81">
        <f t="shared" si="1"/>
        <v>449389</v>
      </c>
      <c r="H7" s="81">
        <f t="shared" si="1"/>
        <v>452315</v>
      </c>
      <c r="I7" s="81">
        <f t="shared" si="1"/>
        <v>463714</v>
      </c>
      <c r="J7" s="81">
        <f t="shared" si="1"/>
        <v>456362</v>
      </c>
      <c r="K7" s="81">
        <f t="shared" si="1"/>
        <v>446121</v>
      </c>
      <c r="L7" s="81">
        <f t="shared" si="1"/>
        <v>456083</v>
      </c>
      <c r="M7" s="81">
        <f t="shared" si="1"/>
        <v>463535</v>
      </c>
      <c r="N7" s="81">
        <f t="shared" si="1"/>
        <v>562988</v>
      </c>
      <c r="O7" s="81">
        <f t="shared" si="1"/>
        <v>5483558</v>
      </c>
      <c r="P7" s="9"/>
      <c r="Q7" s="5"/>
    </row>
    <row r="8" spans="1:16" ht="18.75" customHeight="1">
      <c r="A8" s="4"/>
      <c r="B8" s="11" t="s">
        <v>77</v>
      </c>
      <c r="C8" s="81">
        <f aca="true" t="shared" si="2" ref="C8:I8">+C9+C10+C11+C12+C13+C14+C18</f>
        <v>445863</v>
      </c>
      <c r="D8" s="81">
        <f t="shared" si="2"/>
        <v>436816</v>
      </c>
      <c r="E8" s="81">
        <f t="shared" si="2"/>
        <v>427060</v>
      </c>
      <c r="F8" s="81">
        <f t="shared" si="2"/>
        <v>438139</v>
      </c>
      <c r="G8" s="81">
        <f t="shared" si="2"/>
        <v>448976</v>
      </c>
      <c r="H8" s="81">
        <f t="shared" si="2"/>
        <v>451458</v>
      </c>
      <c r="I8" s="81">
        <f t="shared" si="2"/>
        <v>467119</v>
      </c>
      <c r="J8" s="81">
        <f>+J9+J10+J11+J12+J13+J14+J18</f>
        <v>459276</v>
      </c>
      <c r="K8" s="81">
        <f>+K9+K10+K11+K12+K13+K14+K18</f>
        <v>443517</v>
      </c>
      <c r="L8" s="81">
        <f>+L9+L10+L11+L12+L13+L14+L18</f>
        <v>457603</v>
      </c>
      <c r="M8" s="81">
        <f>+M9+M10+M11+M12+M13+M14+M18</f>
        <v>453280</v>
      </c>
      <c r="N8" s="81">
        <f>+N9+N10+N11+N12+N13+N14+N18</f>
        <v>551703</v>
      </c>
      <c r="O8" s="81">
        <f>+O9+O10+O11+O12+O13+O14+O18</f>
        <v>5480810</v>
      </c>
      <c r="P8" s="9"/>
    </row>
    <row r="9" spans="1:17" ht="18.75" customHeight="1">
      <c r="A9" s="6" t="s">
        <v>61</v>
      </c>
      <c r="B9" s="7" t="s">
        <v>62</v>
      </c>
      <c r="C9" s="81">
        <v>384470</v>
      </c>
      <c r="D9" s="81">
        <v>393759</v>
      </c>
      <c r="E9" s="81">
        <v>379677</v>
      </c>
      <c r="F9" s="81">
        <v>392620</v>
      </c>
      <c r="G9" s="81">
        <v>398928</v>
      </c>
      <c r="H9" s="81">
        <v>404959</v>
      </c>
      <c r="I9" s="81">
        <v>418843</v>
      </c>
      <c r="J9" s="81">
        <v>408285</v>
      </c>
      <c r="K9" s="81">
        <v>396087</v>
      </c>
      <c r="L9" s="81">
        <v>406382</v>
      </c>
      <c r="M9" s="81">
        <v>405144</v>
      </c>
      <c r="N9" s="81">
        <v>494128</v>
      </c>
      <c r="O9" s="81">
        <f aca="true" t="shared" si="3" ref="O9:O19">SUM(C9:N9)</f>
        <v>4883282</v>
      </c>
      <c r="P9" s="9"/>
      <c r="Q9" s="5"/>
    </row>
    <row r="10" spans="1:17" ht="18.75" customHeight="1">
      <c r="A10" s="6" t="s">
        <v>63</v>
      </c>
      <c r="B10" s="7" t="s">
        <v>64</v>
      </c>
      <c r="C10" s="81">
        <v>22631</v>
      </c>
      <c r="D10" s="81">
        <v>22900</v>
      </c>
      <c r="E10" s="81">
        <v>22562</v>
      </c>
      <c r="F10" s="81">
        <v>22847</v>
      </c>
      <c r="G10" s="81">
        <v>24043</v>
      </c>
      <c r="H10" s="81">
        <v>23643</v>
      </c>
      <c r="I10" s="81">
        <v>24319</v>
      </c>
      <c r="J10" s="81">
        <v>25514</v>
      </c>
      <c r="K10" s="81">
        <v>23868</v>
      </c>
      <c r="L10" s="81">
        <v>25546</v>
      </c>
      <c r="M10" s="81">
        <v>24794</v>
      </c>
      <c r="N10" s="81">
        <v>24991</v>
      </c>
      <c r="O10" s="81">
        <f t="shared" si="3"/>
        <v>287658</v>
      </c>
      <c r="P10" s="10"/>
      <c r="Q10" s="5"/>
    </row>
    <row r="11" spans="1:17" ht="18.75" customHeight="1">
      <c r="A11" s="6" t="s">
        <v>65</v>
      </c>
      <c r="B11" s="7" t="s">
        <v>66</v>
      </c>
      <c r="C11" s="81">
        <v>2783</v>
      </c>
      <c r="D11" s="81">
        <v>2308</v>
      </c>
      <c r="E11" s="81">
        <v>2043</v>
      </c>
      <c r="F11" s="81">
        <v>2025</v>
      </c>
      <c r="G11" s="81">
        <v>2098</v>
      </c>
      <c r="H11" s="81">
        <v>1998</v>
      </c>
      <c r="I11" s="81">
        <v>2060</v>
      </c>
      <c r="J11" s="81">
        <v>1909</v>
      </c>
      <c r="K11" s="81">
        <v>1729</v>
      </c>
      <c r="L11" s="81">
        <v>1747</v>
      </c>
      <c r="M11" s="81">
        <v>1477</v>
      </c>
      <c r="N11" s="81">
        <v>1374</v>
      </c>
      <c r="O11" s="81">
        <f t="shared" si="3"/>
        <v>23551</v>
      </c>
      <c r="P11" s="10"/>
      <c r="Q11" s="5"/>
    </row>
    <row r="12" spans="1:17" ht="18.75" customHeight="1">
      <c r="A12" s="6" t="s">
        <v>87</v>
      </c>
      <c r="B12" s="7" t="s">
        <v>156</v>
      </c>
      <c r="C12" s="81">
        <v>950</v>
      </c>
      <c r="D12" s="81">
        <v>1047</v>
      </c>
      <c r="E12" s="81">
        <v>995</v>
      </c>
      <c r="F12" s="81">
        <v>842</v>
      </c>
      <c r="G12" s="81">
        <v>1453</v>
      </c>
      <c r="H12" s="81">
        <v>1918</v>
      </c>
      <c r="I12" s="81">
        <v>2244</v>
      </c>
      <c r="J12" s="81">
        <f>1625</f>
        <v>1625</v>
      </c>
      <c r="K12" s="81">
        <v>1378</v>
      </c>
      <c r="L12" s="81">
        <f>1503</f>
        <v>1503</v>
      </c>
      <c r="M12" s="81">
        <f>1302</f>
        <v>1302</v>
      </c>
      <c r="N12" s="81">
        <v>1103</v>
      </c>
      <c r="O12" s="81">
        <f t="shared" si="3"/>
        <v>16360</v>
      </c>
      <c r="P12" s="10"/>
      <c r="Q12" s="5"/>
    </row>
    <row r="13" spans="1:17" ht="18.75" customHeight="1">
      <c r="A13" s="6" t="s">
        <v>88</v>
      </c>
      <c r="B13" s="7" t="s">
        <v>67</v>
      </c>
      <c r="C13" s="81">
        <v>33422</v>
      </c>
      <c r="D13" s="81">
        <v>16455</v>
      </c>
      <c r="E13" s="81">
        <v>17873</v>
      </c>
      <c r="F13" s="81">
        <v>17393</v>
      </c>
      <c r="G13" s="81">
        <v>20067</v>
      </c>
      <c r="H13" s="81">
        <v>17739</v>
      </c>
      <c r="I13" s="81">
        <v>17689</v>
      </c>
      <c r="J13" s="81">
        <v>20433</v>
      </c>
      <c r="K13" s="81">
        <v>19394</v>
      </c>
      <c r="L13" s="81">
        <v>20204</v>
      </c>
      <c r="M13" s="81">
        <v>18852</v>
      </c>
      <c r="N13" s="81">
        <v>28753</v>
      </c>
      <c r="O13" s="81">
        <f t="shared" si="3"/>
        <v>248274</v>
      </c>
      <c r="P13" s="10"/>
      <c r="Q13" s="5"/>
    </row>
    <row r="14" spans="1:17" ht="18.75" customHeight="1">
      <c r="A14" s="6" t="s">
        <v>89</v>
      </c>
      <c r="B14" s="7" t="s">
        <v>68</v>
      </c>
      <c r="C14" s="81">
        <v>1239</v>
      </c>
      <c r="D14" s="81">
        <v>0</v>
      </c>
      <c r="E14" s="81">
        <v>3538</v>
      </c>
      <c r="F14" s="81">
        <v>2079</v>
      </c>
      <c r="G14" s="81">
        <v>2052</v>
      </c>
      <c r="H14" s="81">
        <v>913</v>
      </c>
      <c r="I14" s="81">
        <v>1589</v>
      </c>
      <c r="J14" s="81">
        <v>1160</v>
      </c>
      <c r="K14" s="81">
        <v>720</v>
      </c>
      <c r="L14" s="81">
        <v>1901</v>
      </c>
      <c r="M14" s="81">
        <v>1534</v>
      </c>
      <c r="N14" s="81">
        <v>1207</v>
      </c>
      <c r="O14" s="81">
        <f t="shared" si="3"/>
        <v>17932</v>
      </c>
      <c r="P14" s="10"/>
      <c r="Q14" s="5"/>
    </row>
    <row r="15" spans="1:17" ht="18.75" customHeight="1">
      <c r="A15" s="6" t="s">
        <v>90</v>
      </c>
      <c r="B15" s="7" t="s">
        <v>69</v>
      </c>
      <c r="C15" s="81">
        <v>20045</v>
      </c>
      <c r="D15" s="81">
        <v>20042</v>
      </c>
      <c r="E15" s="81">
        <v>20045</v>
      </c>
      <c r="F15" s="81">
        <v>20043</v>
      </c>
      <c r="G15" s="81">
        <v>23776</v>
      </c>
      <c r="H15" s="81">
        <v>21216</v>
      </c>
      <c r="I15" s="81">
        <v>17899</v>
      </c>
      <c r="J15" s="81">
        <v>20077</v>
      </c>
      <c r="K15" s="81">
        <v>20076</v>
      </c>
      <c r="L15" s="81">
        <v>10263</v>
      </c>
      <c r="M15" s="81">
        <v>19580</v>
      </c>
      <c r="N15" s="81">
        <v>25466</v>
      </c>
      <c r="O15" s="81">
        <f t="shared" si="3"/>
        <v>238528</v>
      </c>
      <c r="P15" s="10"/>
      <c r="Q15" s="5"/>
    </row>
    <row r="16" spans="1:17" ht="18.75" customHeight="1">
      <c r="A16" s="6" t="s">
        <v>91</v>
      </c>
      <c r="B16" s="8" t="s">
        <v>70</v>
      </c>
      <c r="C16" s="81">
        <v>173</v>
      </c>
      <c r="D16" s="81">
        <v>189</v>
      </c>
      <c r="E16" s="81">
        <v>184</v>
      </c>
      <c r="F16" s="81">
        <v>189</v>
      </c>
      <c r="G16" s="81">
        <v>185</v>
      </c>
      <c r="H16" s="81">
        <v>187</v>
      </c>
      <c r="I16" s="81">
        <v>194</v>
      </c>
      <c r="J16" s="81">
        <v>203</v>
      </c>
      <c r="K16" s="81">
        <v>188</v>
      </c>
      <c r="L16" s="81">
        <v>220</v>
      </c>
      <c r="M16" s="81">
        <v>199</v>
      </c>
      <c r="N16" s="81">
        <v>195</v>
      </c>
      <c r="O16" s="81">
        <f t="shared" si="3"/>
        <v>2306</v>
      </c>
      <c r="P16" s="10"/>
      <c r="Q16" s="5"/>
    </row>
    <row r="17" spans="1:17" ht="18.75" customHeight="1">
      <c r="A17" s="6" t="s">
        <v>92</v>
      </c>
      <c r="B17" s="7" t="s">
        <v>157</v>
      </c>
      <c r="C17" s="81">
        <v>816</v>
      </c>
      <c r="D17" s="81">
        <v>940</v>
      </c>
      <c r="E17" s="81">
        <v>1028</v>
      </c>
      <c r="F17" s="81">
        <v>2086</v>
      </c>
      <c r="G17" s="81">
        <v>908</v>
      </c>
      <c r="H17" s="81">
        <v>795</v>
      </c>
      <c r="I17" s="81">
        <v>485</v>
      </c>
      <c r="J17" s="81">
        <f>562+28</f>
        <v>590</v>
      </c>
      <c r="K17" s="81">
        <v>860</v>
      </c>
      <c r="L17" s="81">
        <f>1262-1</f>
        <v>1261</v>
      </c>
      <c r="M17" s="81">
        <f>550+25</f>
        <v>575</v>
      </c>
      <c r="N17" s="81">
        <f>1101</f>
        <v>1101</v>
      </c>
      <c r="O17" s="81">
        <f t="shared" si="3"/>
        <v>11445</v>
      </c>
      <c r="P17" s="10"/>
      <c r="Q17" s="5"/>
    </row>
    <row r="18" spans="1:17" ht="18.75" customHeight="1">
      <c r="A18" s="6" t="s">
        <v>93</v>
      </c>
      <c r="B18" s="7" t="s">
        <v>71</v>
      </c>
      <c r="C18" s="81">
        <v>368</v>
      </c>
      <c r="D18" s="81">
        <v>347</v>
      </c>
      <c r="E18" s="81">
        <f>354+18</f>
        <v>372</v>
      </c>
      <c r="F18" s="81">
        <v>333</v>
      </c>
      <c r="G18" s="81">
        <f>325+10</f>
        <v>335</v>
      </c>
      <c r="H18" s="81">
        <v>288</v>
      </c>
      <c r="I18" s="81">
        <f>367+8</f>
        <v>375</v>
      </c>
      <c r="J18" s="81">
        <v>350</v>
      </c>
      <c r="K18" s="81">
        <f>337+4</f>
        <v>341</v>
      </c>
      <c r="L18" s="81">
        <f>320</f>
        <v>320</v>
      </c>
      <c r="M18" s="81">
        <f>177</f>
        <v>177</v>
      </c>
      <c r="N18" s="81">
        <f>147</f>
        <v>147</v>
      </c>
      <c r="O18" s="81">
        <f t="shared" si="3"/>
        <v>3753</v>
      </c>
      <c r="P18" s="10"/>
      <c r="Q18" s="5"/>
    </row>
    <row r="19" spans="1:17" ht="18.75" customHeight="1">
      <c r="A19" s="6" t="s">
        <v>94</v>
      </c>
      <c r="B19" s="7" t="s">
        <v>72</v>
      </c>
      <c r="C19" s="81">
        <v>23</v>
      </c>
      <c r="D19" s="81">
        <v>25</v>
      </c>
      <c r="E19" s="81">
        <v>24</v>
      </c>
      <c r="F19" s="81">
        <v>24</v>
      </c>
      <c r="G19" s="81">
        <v>24</v>
      </c>
      <c r="H19" s="81">
        <v>24</v>
      </c>
      <c r="I19" s="81">
        <v>24</v>
      </c>
      <c r="J19" s="81">
        <v>24</v>
      </c>
      <c r="K19" s="81">
        <v>24</v>
      </c>
      <c r="L19" s="81">
        <v>9</v>
      </c>
      <c r="M19" s="81">
        <v>11</v>
      </c>
      <c r="N19" s="81">
        <v>10</v>
      </c>
      <c r="O19" s="81">
        <f t="shared" si="3"/>
        <v>246</v>
      </c>
      <c r="P19" s="10"/>
      <c r="Q19" s="5"/>
    </row>
    <row r="20" spans="1:16" ht="18.75" customHeight="1">
      <c r="A20" s="6" t="s">
        <v>95</v>
      </c>
      <c r="B20" s="7" t="s">
        <v>204</v>
      </c>
      <c r="C20" s="7"/>
      <c r="D20" s="7"/>
      <c r="E20" s="7"/>
      <c r="F20" s="7"/>
      <c r="G20" s="7"/>
      <c r="H20" s="7"/>
      <c r="I20" s="7"/>
      <c r="J20" s="7"/>
      <c r="K20" s="82">
        <v>3808</v>
      </c>
      <c r="L20" s="82">
        <v>11315</v>
      </c>
      <c r="M20" s="116">
        <v>11954</v>
      </c>
      <c r="N20" s="116">
        <v>16419</v>
      </c>
      <c r="O20" s="81">
        <f>SUM(C20:N20)</f>
        <v>43496</v>
      </c>
      <c r="P20" s="9"/>
    </row>
    <row r="21" spans="1:16" ht="19.5" customHeight="1">
      <c r="A21" s="6">
        <v>13</v>
      </c>
      <c r="B21" s="7" t="s">
        <v>205</v>
      </c>
      <c r="C21" s="82"/>
      <c r="D21" s="82"/>
      <c r="E21" s="82"/>
      <c r="F21" s="82"/>
      <c r="G21" s="82"/>
      <c r="H21" s="82"/>
      <c r="I21" s="82"/>
      <c r="J21" s="82"/>
      <c r="K21" s="82"/>
      <c r="L21" s="82">
        <v>281</v>
      </c>
      <c r="M21" s="82">
        <v>199</v>
      </c>
      <c r="N21" s="82">
        <v>258</v>
      </c>
      <c r="O21" s="81">
        <f>SUM(C21:N21)</f>
        <v>738</v>
      </c>
      <c r="P21" s="9"/>
    </row>
    <row r="22" spans="2:16" ht="14.25" customHeight="1">
      <c r="B22" s="16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9"/>
    </row>
    <row r="23" spans="2:16" ht="14.25" customHeight="1">
      <c r="B23" s="16"/>
      <c r="O23" s="5"/>
      <c r="P23" s="9"/>
    </row>
    <row r="24" spans="3:15" ht="14.25" customHeight="1"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</row>
    <row r="25" spans="3:15" ht="14.25" customHeight="1"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</row>
    <row r="26" spans="3:15" ht="14.25" customHeight="1">
      <c r="C26" s="5"/>
      <c r="O26" s="5"/>
    </row>
    <row r="27" spans="3:15" ht="14.25" customHeight="1"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</row>
    <row r="28" spans="3:15" ht="14.25" customHeight="1"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</row>
    <row r="29" ht="14.25" customHeight="1">
      <c r="O29" s="5"/>
    </row>
    <row r="30" ht="14.25" customHeight="1">
      <c r="O30" s="5"/>
    </row>
    <row r="31" ht="14.25" customHeight="1">
      <c r="O31" s="5"/>
    </row>
    <row r="32" ht="14.25" customHeight="1">
      <c r="O32" s="5"/>
    </row>
    <row r="33" ht="14.25" customHeight="1">
      <c r="O33" s="5"/>
    </row>
    <row r="34" ht="14.25" customHeight="1">
      <c r="O34" s="5"/>
    </row>
    <row r="35" ht="14.25" customHeight="1">
      <c r="O35" s="5"/>
    </row>
  </sheetData>
  <sheetProtection/>
  <printOptions horizontalCentered="1"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5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39998000860214233"/>
    <pageSetUpPr fitToPage="1"/>
  </sheetPr>
  <dimension ref="A2:O49"/>
  <sheetViews>
    <sheetView tabSelected="1" zoomScale="70" zoomScaleNormal="70" zoomScalePageLayoutView="0" workbookViewId="0" topLeftCell="A1">
      <selection activeCell="F48" sqref="F48"/>
    </sheetView>
  </sheetViews>
  <sheetFormatPr defaultColWidth="9.140625" defaultRowHeight="12.75"/>
  <cols>
    <col min="1" max="1" width="8.140625" style="488" customWidth="1"/>
    <col min="2" max="2" width="19.8515625" style="488" customWidth="1"/>
    <col min="3" max="3" width="13.8515625" style="488" customWidth="1"/>
    <col min="4" max="4" width="15.140625" style="488" customWidth="1"/>
    <col min="5" max="5" width="12.00390625" style="488" customWidth="1"/>
    <col min="6" max="6" width="12.421875" style="488" customWidth="1"/>
    <col min="7" max="7" width="11.00390625" style="488" customWidth="1"/>
    <col min="8" max="8" width="14.00390625" style="488" customWidth="1"/>
    <col min="9" max="9" width="16.7109375" style="488" bestFit="1" customWidth="1"/>
    <col min="10" max="10" width="16.00390625" style="488" customWidth="1"/>
    <col min="11" max="11" width="16.7109375" style="488" customWidth="1"/>
    <col min="12" max="12" width="15.8515625" style="488" customWidth="1"/>
    <col min="13" max="13" width="16.8515625" style="488" customWidth="1"/>
    <col min="14" max="14" width="14.57421875" style="488" bestFit="1" customWidth="1"/>
    <col min="15" max="16384" width="9.140625" style="488" customWidth="1"/>
  </cols>
  <sheetData>
    <row r="2" spans="2:8" ht="21.75" customHeight="1">
      <c r="B2" s="734" t="s">
        <v>246</v>
      </c>
      <c r="C2" s="735"/>
      <c r="D2" s="735"/>
      <c r="E2" s="735"/>
      <c r="F2" s="735"/>
      <c r="G2" s="735"/>
      <c r="H2" s="735"/>
    </row>
    <row r="4" ht="12.75">
      <c r="G4" s="489"/>
    </row>
    <row r="5" spans="2:8" ht="12.75">
      <c r="B5" s="736" t="s">
        <v>247</v>
      </c>
      <c r="C5" s="737" t="s">
        <v>248</v>
      </c>
      <c r="D5" s="737" t="s">
        <v>249</v>
      </c>
      <c r="E5" s="737"/>
      <c r="F5" s="737"/>
      <c r="G5" s="737"/>
      <c r="H5" s="737"/>
    </row>
    <row r="6" spans="2:8" ht="12.75">
      <c r="B6" s="736"/>
      <c r="C6" s="737"/>
      <c r="D6" s="736" t="s">
        <v>250</v>
      </c>
      <c r="E6" s="736"/>
      <c r="F6" s="736" t="s">
        <v>251</v>
      </c>
      <c r="G6" s="736"/>
      <c r="H6" s="736"/>
    </row>
    <row r="7" spans="2:8" ht="63.75" customHeight="1">
      <c r="B7" s="736"/>
      <c r="C7" s="737"/>
      <c r="D7" s="14" t="s">
        <v>252</v>
      </c>
      <c r="E7" s="14" t="s">
        <v>253</v>
      </c>
      <c r="F7" s="6" t="s">
        <v>254</v>
      </c>
      <c r="G7" s="6" t="s">
        <v>255</v>
      </c>
      <c r="H7" s="14" t="s">
        <v>256</v>
      </c>
    </row>
    <row r="8" spans="2:12" ht="12.75">
      <c r="B8" s="7" t="s">
        <v>257</v>
      </c>
      <c r="C8" s="81">
        <v>563760.21517</v>
      </c>
      <c r="D8" s="81">
        <v>21587.67161</v>
      </c>
      <c r="E8" s="81">
        <v>542172</v>
      </c>
      <c r="F8" s="81">
        <v>394472.66044</v>
      </c>
      <c r="G8" s="81">
        <v>133374.49098</v>
      </c>
      <c r="H8" s="81">
        <v>14325.39214</v>
      </c>
      <c r="I8" s="490"/>
      <c r="J8" s="491"/>
      <c r="K8" s="492"/>
      <c r="L8" s="492"/>
    </row>
    <row r="9" spans="2:10" ht="12.75">
      <c r="B9" s="7" t="s">
        <v>258</v>
      </c>
      <c r="C9" s="81">
        <v>621385.1175399999</v>
      </c>
      <c r="D9" s="81">
        <v>56436.35922999999</v>
      </c>
      <c r="E9" s="81">
        <v>564948.7583100001</v>
      </c>
      <c r="F9" s="81">
        <v>406665.5613900001</v>
      </c>
      <c r="G9" s="81">
        <v>143701.31040999998</v>
      </c>
      <c r="H9" s="81">
        <v>14581.886509999998</v>
      </c>
      <c r="I9" s="490"/>
      <c r="J9" s="491"/>
    </row>
    <row r="10" spans="2:13" ht="12.75">
      <c r="B10" s="7" t="s">
        <v>259</v>
      </c>
      <c r="C10" s="81">
        <v>615034.9721999998</v>
      </c>
      <c r="D10" s="81">
        <v>40784.013680000004</v>
      </c>
      <c r="E10" s="81">
        <v>574250.9585199999</v>
      </c>
      <c r="F10" s="81">
        <v>411137.4323700001</v>
      </c>
      <c r="G10" s="81">
        <v>148054.75500000003</v>
      </c>
      <c r="H10" s="81">
        <v>15058.77115</v>
      </c>
      <c r="I10" s="490"/>
      <c r="J10" s="493"/>
      <c r="K10" s="493"/>
      <c r="L10" s="493"/>
      <c r="M10" s="493"/>
    </row>
    <row r="11" spans="2:13" ht="12.75">
      <c r="B11" s="7" t="s">
        <v>260</v>
      </c>
      <c r="C11" s="81">
        <v>622231.7992899999</v>
      </c>
      <c r="D11" s="81">
        <v>35775.060770000004</v>
      </c>
      <c r="E11" s="81">
        <v>586456.7385199999</v>
      </c>
      <c r="F11" s="81">
        <v>419629.5998600001</v>
      </c>
      <c r="G11" s="81">
        <v>150892.05318000002</v>
      </c>
      <c r="H11" s="81">
        <v>15935.085479999996</v>
      </c>
      <c r="I11" s="490"/>
      <c r="J11" s="493"/>
      <c r="K11" s="493"/>
      <c r="L11" s="493"/>
      <c r="M11" s="493"/>
    </row>
    <row r="12" spans="2:13" ht="12.75">
      <c r="B12" s="7" t="s">
        <v>261</v>
      </c>
      <c r="C12" s="81">
        <v>629846.93725</v>
      </c>
      <c r="D12" s="81">
        <v>38383.022320000004</v>
      </c>
      <c r="E12" s="81">
        <v>591463.91493</v>
      </c>
      <c r="F12" s="81">
        <v>424560.39145</v>
      </c>
      <c r="G12" s="81">
        <v>151984.29118</v>
      </c>
      <c r="H12" s="81">
        <v>14919.2323</v>
      </c>
      <c r="I12" s="490"/>
      <c r="J12" s="493"/>
      <c r="K12" s="493"/>
      <c r="L12" s="493"/>
      <c r="M12" s="493"/>
    </row>
    <row r="13" spans="2:14" ht="12.75">
      <c r="B13" s="7" t="s">
        <v>262</v>
      </c>
      <c r="C13" s="81">
        <v>637343.2580500001</v>
      </c>
      <c r="D13" s="81">
        <v>39623.557140000004</v>
      </c>
      <c r="E13" s="81">
        <f>SUM(F13:H13)</f>
        <v>597719.31077</v>
      </c>
      <c r="F13" s="81">
        <v>427469.89447000006</v>
      </c>
      <c r="G13" s="81">
        <v>155120.41629999992</v>
      </c>
      <c r="H13" s="81">
        <v>15129</v>
      </c>
      <c r="I13" s="490"/>
      <c r="J13" s="493"/>
      <c r="K13" s="493"/>
      <c r="L13" s="493"/>
      <c r="M13" s="493"/>
      <c r="N13" s="494"/>
    </row>
    <row r="14" spans="2:14" ht="12.75">
      <c r="B14" s="7" t="s">
        <v>263</v>
      </c>
      <c r="C14" s="81">
        <v>661575.6312700001</v>
      </c>
      <c r="D14" s="81">
        <v>47279.26624</v>
      </c>
      <c r="E14" s="81">
        <v>614297</v>
      </c>
      <c r="F14" s="81">
        <v>432146</v>
      </c>
      <c r="G14" s="81">
        <v>160423.16952000002</v>
      </c>
      <c r="H14" s="81">
        <v>21727.73786</v>
      </c>
      <c r="I14" s="490"/>
      <c r="J14" s="493"/>
      <c r="K14" s="493"/>
      <c r="L14" s="493"/>
      <c r="M14" s="493"/>
      <c r="N14" s="494"/>
    </row>
    <row r="15" spans="2:14" ht="12.75">
      <c r="B15" s="7" t="s">
        <v>264</v>
      </c>
      <c r="C15" s="81">
        <v>667871.9956</v>
      </c>
      <c r="D15" s="81">
        <v>50662.61856000002</v>
      </c>
      <c r="E15" s="81">
        <v>617209.3770399999</v>
      </c>
      <c r="F15" s="81">
        <v>424964.6553700001</v>
      </c>
      <c r="G15" s="81">
        <v>169195.88601000002</v>
      </c>
      <c r="H15" s="81">
        <v>23048.835660000004</v>
      </c>
      <c r="I15" s="490"/>
      <c r="J15" s="493"/>
      <c r="K15" s="493"/>
      <c r="L15" s="493"/>
      <c r="M15" s="493"/>
      <c r="N15" s="494"/>
    </row>
    <row r="16" spans="2:14" ht="12.75">
      <c r="B16" s="7" t="s">
        <v>265</v>
      </c>
      <c r="C16" s="81">
        <v>663342.42627</v>
      </c>
      <c r="D16" s="81">
        <v>45260.30988</v>
      </c>
      <c r="E16" s="81">
        <v>618082.11639</v>
      </c>
      <c r="F16" s="81">
        <v>426300.76285</v>
      </c>
      <c r="G16" s="81">
        <v>168612.77831000002</v>
      </c>
      <c r="H16" s="81">
        <v>23168.49</v>
      </c>
      <c r="I16" s="490"/>
      <c r="J16" s="493"/>
      <c r="K16" s="493"/>
      <c r="L16" s="493"/>
      <c r="M16" s="493"/>
      <c r="N16" s="494"/>
    </row>
    <row r="17" spans="2:14" ht="12.75">
      <c r="B17" s="7" t="s">
        <v>266</v>
      </c>
      <c r="C17" s="81">
        <v>655571.74714</v>
      </c>
      <c r="D17" s="81">
        <v>44181.43747000001</v>
      </c>
      <c r="E17" s="81">
        <v>611390.3096700001</v>
      </c>
      <c r="F17" s="81">
        <v>421772.91831000004</v>
      </c>
      <c r="G17" s="81">
        <v>165995.36043</v>
      </c>
      <c r="H17" s="81">
        <v>23622.030929999997</v>
      </c>
      <c r="I17" s="490"/>
      <c r="J17" s="493"/>
      <c r="K17" s="493"/>
      <c r="L17" s="493"/>
      <c r="M17" s="493"/>
      <c r="N17" s="494"/>
    </row>
    <row r="18" spans="2:14" ht="12.75">
      <c r="B18" s="7" t="s">
        <v>267</v>
      </c>
      <c r="C18" s="81">
        <v>641927.6018200002</v>
      </c>
      <c r="D18" s="81">
        <v>38015</v>
      </c>
      <c r="E18" s="81">
        <v>603913</v>
      </c>
      <c r="F18" s="81">
        <v>419853.29936999996</v>
      </c>
      <c r="G18" s="81">
        <v>165679.61616999996</v>
      </c>
      <c r="H18" s="81">
        <v>18380</v>
      </c>
      <c r="I18" s="490"/>
      <c r="J18" s="493"/>
      <c r="K18" s="493"/>
      <c r="L18" s="493"/>
      <c r="M18" s="493"/>
      <c r="N18" s="494"/>
    </row>
    <row r="19" spans="2:14" ht="12.75">
      <c r="B19" s="7" t="s">
        <v>268</v>
      </c>
      <c r="C19" s="81">
        <v>651771.5945700001</v>
      </c>
      <c r="D19" s="81">
        <v>34041.62648</v>
      </c>
      <c r="E19" s="81">
        <v>617729.9680900001</v>
      </c>
      <c r="F19" s="81">
        <v>428473.21684</v>
      </c>
      <c r="G19" s="81">
        <v>166810.86167</v>
      </c>
      <c r="H19" s="81">
        <v>22445.88958</v>
      </c>
      <c r="I19" s="490"/>
      <c r="J19" s="493"/>
      <c r="K19" s="493"/>
      <c r="L19" s="493"/>
      <c r="M19" s="493"/>
      <c r="N19" s="494"/>
    </row>
    <row r="20" spans="2:14" ht="12.75">
      <c r="B20" s="7" t="s">
        <v>269</v>
      </c>
      <c r="C20" s="81">
        <v>595319.5196599999</v>
      </c>
      <c r="D20" s="81">
        <v>19429.84919</v>
      </c>
      <c r="E20" s="81">
        <v>575889.67047</v>
      </c>
      <c r="F20" s="81">
        <v>403686.0853900001</v>
      </c>
      <c r="G20" s="81">
        <v>157999.50866999992</v>
      </c>
      <c r="H20" s="81">
        <v>14204.076410000001</v>
      </c>
      <c r="I20" s="490"/>
      <c r="J20" s="493"/>
      <c r="K20" s="493"/>
      <c r="L20" s="493"/>
      <c r="M20" s="493"/>
      <c r="N20" s="494"/>
    </row>
    <row r="21" spans="2:10" ht="12.75">
      <c r="B21" s="495" t="s">
        <v>270</v>
      </c>
      <c r="C21" s="496"/>
      <c r="D21" s="496"/>
      <c r="E21" s="496"/>
      <c r="F21" s="496"/>
      <c r="G21" s="496"/>
      <c r="H21" s="497"/>
      <c r="I21" s="490"/>
      <c r="J21" s="498"/>
    </row>
    <row r="22" spans="6:8" ht="12.75">
      <c r="F22" s="492"/>
      <c r="H22" s="499"/>
    </row>
    <row r="23" spans="2:15" ht="12.75">
      <c r="B23" s="500" t="s">
        <v>271</v>
      </c>
      <c r="C23" s="501"/>
      <c r="D23" s="501"/>
      <c r="E23" s="501"/>
      <c r="F23" s="501"/>
      <c r="G23" s="501"/>
      <c r="H23" s="501"/>
      <c r="I23" s="502"/>
      <c r="J23" s="502"/>
      <c r="K23" s="502"/>
      <c r="L23" s="502"/>
      <c r="M23" s="502"/>
      <c r="N23" s="502"/>
      <c r="O23" s="503"/>
    </row>
    <row r="24" spans="1:15" ht="12.75">
      <c r="A24" s="503"/>
      <c r="B24" s="501"/>
      <c r="C24" s="501"/>
      <c r="D24" s="501"/>
      <c r="E24" s="501"/>
      <c r="F24" s="501"/>
      <c r="G24" s="501"/>
      <c r="H24" s="501"/>
      <c r="I24" s="504"/>
      <c r="J24" s="504"/>
      <c r="K24" s="504"/>
      <c r="L24" s="504"/>
      <c r="M24" s="504"/>
      <c r="N24" s="504"/>
      <c r="O24" s="503"/>
    </row>
    <row r="25" spans="2:12" ht="39">
      <c r="B25" s="505" t="s">
        <v>272</v>
      </c>
      <c r="C25" s="505" t="s">
        <v>273</v>
      </c>
      <c r="D25" s="505" t="s">
        <v>274</v>
      </c>
      <c r="E25" s="505" t="s">
        <v>275</v>
      </c>
      <c r="F25" s="505" t="s">
        <v>276</v>
      </c>
      <c r="G25" s="505" t="s">
        <v>277</v>
      </c>
      <c r="H25" s="505" t="s">
        <v>278</v>
      </c>
      <c r="I25" s="505" t="s">
        <v>279</v>
      </c>
      <c r="J25" s="505" t="s">
        <v>280</v>
      </c>
      <c r="K25" s="505" t="s">
        <v>281</v>
      </c>
      <c r="L25" s="505" t="s">
        <v>282</v>
      </c>
    </row>
    <row r="26" spans="2:12" ht="15" customHeight="1">
      <c r="B26" s="14" t="s">
        <v>283</v>
      </c>
      <c r="C26" s="506">
        <f>SUM(D26:L26)</f>
        <v>563760.2151699999</v>
      </c>
      <c r="D26" s="506">
        <v>51831.26349</v>
      </c>
      <c r="E26" s="506">
        <v>283899.6920599999</v>
      </c>
      <c r="F26" s="506">
        <v>87695.94254</v>
      </c>
      <c r="G26" s="506">
        <v>6744.83641</v>
      </c>
      <c r="H26" s="506">
        <v>11165.109240000003</v>
      </c>
      <c r="I26" s="506">
        <v>42717.0966</v>
      </c>
      <c r="J26" s="506">
        <v>45084.0391</v>
      </c>
      <c r="K26" s="506">
        <v>27867.656199999994</v>
      </c>
      <c r="L26" s="506">
        <v>6754.57953</v>
      </c>
    </row>
    <row r="27" spans="2:12" ht="12.75">
      <c r="B27" s="7" t="s">
        <v>284</v>
      </c>
      <c r="C27" s="506">
        <f>SUM(D27:L27)</f>
        <v>621385.11754</v>
      </c>
      <c r="D27" s="506">
        <v>57884.24041999999</v>
      </c>
      <c r="E27" s="506">
        <v>313999.18724</v>
      </c>
      <c r="F27" s="506">
        <v>97589.57107999997</v>
      </c>
      <c r="G27" s="506">
        <v>7562.53114</v>
      </c>
      <c r="H27" s="506">
        <v>12013.37767</v>
      </c>
      <c r="I27" s="506">
        <v>44663.06235</v>
      </c>
      <c r="J27" s="506">
        <v>53072.2423</v>
      </c>
      <c r="K27" s="506">
        <v>27846.827779999996</v>
      </c>
      <c r="L27" s="506">
        <v>6754.077560000001</v>
      </c>
    </row>
    <row r="28" spans="2:12" ht="12.75">
      <c r="B28" s="7" t="s">
        <v>285</v>
      </c>
      <c r="C28" s="506">
        <f>SUM(D28:L28)</f>
        <v>615034.9722000002</v>
      </c>
      <c r="D28" s="506">
        <v>55958.74927000001</v>
      </c>
      <c r="E28" s="506">
        <v>310387.7920000001</v>
      </c>
      <c r="F28" s="506">
        <v>96439.33208</v>
      </c>
      <c r="G28" s="506">
        <v>7750.159749999998</v>
      </c>
      <c r="H28" s="506">
        <v>12912.928509999998</v>
      </c>
      <c r="I28" s="506">
        <v>44980.64831999999</v>
      </c>
      <c r="J28" s="506">
        <v>52013.15072000002</v>
      </c>
      <c r="K28" s="506">
        <v>27838.802939999998</v>
      </c>
      <c r="L28" s="506">
        <v>6753.40861</v>
      </c>
    </row>
    <row r="29" spans="2:12" ht="12.75">
      <c r="B29" s="7" t="s">
        <v>286</v>
      </c>
      <c r="C29" s="506">
        <f>SUM(D29:L29)</f>
        <v>622231.79929</v>
      </c>
      <c r="D29" s="506">
        <v>56652.74760000001</v>
      </c>
      <c r="E29" s="506">
        <v>314108.95352</v>
      </c>
      <c r="F29" s="506">
        <v>97577.88495000002</v>
      </c>
      <c r="G29" s="506">
        <v>7883.633670000001</v>
      </c>
      <c r="H29" s="506">
        <v>13780.054959999996</v>
      </c>
      <c r="I29" s="506">
        <v>44685.36397999999</v>
      </c>
      <c r="J29" s="506">
        <v>52985.67874</v>
      </c>
      <c r="K29" s="506">
        <v>27804.670959999996</v>
      </c>
      <c r="L29" s="506">
        <v>6752.81091</v>
      </c>
    </row>
    <row r="30" spans="2:12" ht="13.5" customHeight="1">
      <c r="B30" s="7" t="s">
        <v>287</v>
      </c>
      <c r="C30" s="506">
        <f>SUM(D30:L30)</f>
        <v>629846.9372499998</v>
      </c>
      <c r="D30" s="506">
        <v>57426.33328</v>
      </c>
      <c r="E30" s="506">
        <v>318935.61016999994</v>
      </c>
      <c r="F30" s="506">
        <v>98834.32344</v>
      </c>
      <c r="G30" s="506">
        <v>8099.129209999999</v>
      </c>
      <c r="H30" s="506">
        <v>14259.76368</v>
      </c>
      <c r="I30" s="506">
        <v>43420.59012999999</v>
      </c>
      <c r="J30" s="506">
        <v>54321.34048</v>
      </c>
      <c r="K30" s="506">
        <v>27797.861880000004</v>
      </c>
      <c r="L30" s="506">
        <v>6751.98498</v>
      </c>
    </row>
    <row r="31" spans="2:12" ht="13.5" customHeight="1">
      <c r="B31" s="7" t="s">
        <v>288</v>
      </c>
      <c r="C31" s="506">
        <v>637343.2580500001</v>
      </c>
      <c r="D31" s="506">
        <v>58348.25042999999</v>
      </c>
      <c r="E31" s="506">
        <v>322484.87739999994</v>
      </c>
      <c r="F31" s="506">
        <v>99608.32226999996</v>
      </c>
      <c r="G31" s="506">
        <v>8293.68604</v>
      </c>
      <c r="H31" s="506">
        <v>15051.697810000001</v>
      </c>
      <c r="I31" s="506">
        <v>43368.82789</v>
      </c>
      <c r="J31" s="506">
        <v>55666.015650000016</v>
      </c>
      <c r="K31" s="506">
        <v>27770.004579999997</v>
      </c>
      <c r="L31" s="506">
        <v>6751.57598</v>
      </c>
    </row>
    <row r="32" spans="2:12" ht="13.5" customHeight="1">
      <c r="B32" s="7" t="s">
        <v>289</v>
      </c>
      <c r="C32" s="506">
        <v>661575.6312700001</v>
      </c>
      <c r="D32" s="506">
        <v>60153</v>
      </c>
      <c r="E32" s="506">
        <v>332231.81852000003</v>
      </c>
      <c r="F32" s="506">
        <v>103299.87775999997</v>
      </c>
      <c r="G32" s="506">
        <v>8156.73937</v>
      </c>
      <c r="H32" s="506">
        <v>16071.675259999998</v>
      </c>
      <c r="I32" s="506">
        <v>48855.96677</v>
      </c>
      <c r="J32" s="506">
        <v>58291.33604000002</v>
      </c>
      <c r="K32" s="506">
        <v>27764.258570000005</v>
      </c>
      <c r="L32" s="506">
        <v>6751.463519999999</v>
      </c>
    </row>
    <row r="33" spans="2:12" ht="13.5" customHeight="1">
      <c r="B33" s="7" t="s">
        <v>290</v>
      </c>
      <c r="C33" s="506">
        <v>667871.9956000001</v>
      </c>
      <c r="D33" s="506">
        <v>62036.49448</v>
      </c>
      <c r="E33" s="506">
        <v>336023.3142600001</v>
      </c>
      <c r="F33" s="506">
        <v>104699.51491999999</v>
      </c>
      <c r="G33" s="506">
        <v>9002.72022</v>
      </c>
      <c r="H33" s="506">
        <v>16750.84466</v>
      </c>
      <c r="I33" s="506">
        <v>49361.079680000024</v>
      </c>
      <c r="J33" s="506">
        <v>60269.36005</v>
      </c>
      <c r="K33" s="506">
        <v>22977.717879999997</v>
      </c>
      <c r="L33" s="506">
        <v>6750.949449999999</v>
      </c>
    </row>
    <row r="34" spans="2:12" ht="12.75">
      <c r="B34" s="7" t="s">
        <v>291</v>
      </c>
      <c r="C34" s="506">
        <v>663342.4262699998</v>
      </c>
      <c r="D34" s="506">
        <v>62522.71792999999</v>
      </c>
      <c r="E34" s="506">
        <v>339542.27615000005</v>
      </c>
      <c r="F34" s="506">
        <v>106017.69823</v>
      </c>
      <c r="G34" s="506">
        <v>9265.05564</v>
      </c>
      <c r="H34" s="506">
        <v>17275.832660000004</v>
      </c>
      <c r="I34" s="506">
        <v>48713.334719999984</v>
      </c>
      <c r="J34" s="506">
        <v>61163.806410000005</v>
      </c>
      <c r="K34" s="506">
        <v>12091.050220000001</v>
      </c>
      <c r="L34" s="506">
        <v>6750.654309999999</v>
      </c>
    </row>
    <row r="35" spans="2:12" ht="12.75">
      <c r="B35" s="7" t="s">
        <v>292</v>
      </c>
      <c r="C35" s="506">
        <v>655571.7471400001</v>
      </c>
      <c r="D35" s="506">
        <v>60594.20788</v>
      </c>
      <c r="E35" s="506">
        <v>333829.44510000007</v>
      </c>
      <c r="F35" s="506">
        <v>104301.57456000002</v>
      </c>
      <c r="G35" s="506">
        <v>9499.45035</v>
      </c>
      <c r="H35" s="506">
        <v>17635.630420000005</v>
      </c>
      <c r="I35" s="506">
        <v>48723.601899999994</v>
      </c>
      <c r="J35" s="506">
        <v>62153.671610000005</v>
      </c>
      <c r="K35" s="506">
        <v>12083.857649999996</v>
      </c>
      <c r="L35" s="506">
        <v>6750.307669999999</v>
      </c>
    </row>
    <row r="36" spans="2:12" ht="12.75">
      <c r="B36" s="7" t="s">
        <v>293</v>
      </c>
      <c r="C36" s="506">
        <v>641927.6018200002</v>
      </c>
      <c r="D36" s="506">
        <v>59133.18806999997</v>
      </c>
      <c r="E36" s="506">
        <v>331157.24108000007</v>
      </c>
      <c r="F36" s="506">
        <v>103721.97950000002</v>
      </c>
      <c r="G36" s="506">
        <v>9022.1069</v>
      </c>
      <c r="H36" s="506">
        <v>12820.60565</v>
      </c>
      <c r="I36" s="506">
        <v>46289.539880000004</v>
      </c>
      <c r="J36" s="506">
        <v>61062.755549999994</v>
      </c>
      <c r="K36" s="506">
        <v>11970.058839999998</v>
      </c>
      <c r="L36" s="506">
        <v>6750.12635</v>
      </c>
    </row>
    <row r="37" spans="2:12" ht="12.75">
      <c r="B37" s="7" t="s">
        <v>294</v>
      </c>
      <c r="C37" s="506">
        <v>651771.5945700001</v>
      </c>
      <c r="D37" s="506">
        <v>60345.442190000016</v>
      </c>
      <c r="E37" s="506">
        <v>335315.0015</v>
      </c>
      <c r="F37" s="506">
        <v>107393.43749000003</v>
      </c>
      <c r="G37" s="506">
        <v>9401.40123</v>
      </c>
      <c r="H37" s="506">
        <v>13572.856249999999</v>
      </c>
      <c r="I37" s="506">
        <v>46676.252870000004</v>
      </c>
      <c r="J37" s="506">
        <v>62007.56816999999</v>
      </c>
      <c r="K37" s="506">
        <v>11832.73046</v>
      </c>
      <c r="L37" s="506">
        <v>5226.904409999999</v>
      </c>
    </row>
    <row r="38" spans="2:12" ht="12.75">
      <c r="B38" s="7" t="s">
        <v>295</v>
      </c>
      <c r="C38" s="506">
        <v>595319.5196600001</v>
      </c>
      <c r="D38" s="506">
        <v>55463.17914</v>
      </c>
      <c r="E38" s="506">
        <v>302437.50031</v>
      </c>
      <c r="F38" s="506">
        <v>97060.16865000002</v>
      </c>
      <c r="G38" s="506">
        <v>8499.20262</v>
      </c>
      <c r="H38" s="506">
        <v>10625.964860000002</v>
      </c>
      <c r="I38" s="506">
        <v>46181.785029999985</v>
      </c>
      <c r="J38" s="506">
        <v>56281.96372000001</v>
      </c>
      <c r="K38" s="506">
        <v>14951.990250000006</v>
      </c>
      <c r="L38" s="506">
        <v>3817.7650800000006</v>
      </c>
    </row>
    <row r="40" ht="12.75">
      <c r="D40" s="507"/>
    </row>
    <row r="41" ht="12.75">
      <c r="D41" s="507"/>
    </row>
    <row r="42" ht="12.75">
      <c r="D42" s="507"/>
    </row>
    <row r="43" ht="12.75">
      <c r="D43" s="507"/>
    </row>
    <row r="44" ht="12.75">
      <c r="D44" s="507"/>
    </row>
    <row r="45" ht="12.75">
      <c r="D45" s="507"/>
    </row>
    <row r="46" ht="12.75">
      <c r="D46" s="507"/>
    </row>
    <row r="47" ht="12.75">
      <c r="D47" s="507"/>
    </row>
    <row r="48" ht="12.75">
      <c r="D48" s="507"/>
    </row>
    <row r="49" ht="12.75">
      <c r="D49" s="492"/>
    </row>
  </sheetData>
  <sheetProtection/>
  <mergeCells count="6">
    <mergeCell ref="B2:H2"/>
    <mergeCell ref="B5:B7"/>
    <mergeCell ref="C5:C7"/>
    <mergeCell ref="D5:H5"/>
    <mergeCell ref="D6:E6"/>
    <mergeCell ref="F6:H6"/>
  </mergeCells>
  <printOptions/>
  <pageMargins left="0.7874015748031497" right="0.5905511811023623" top="0.5511811023622047" bottom="0.7480314960629921" header="0.5118110236220472" footer="0.5118110236220472"/>
  <pageSetup fitToHeight="1" fitToWidth="1" horizontalDpi="600" verticalDpi="600" orientation="landscape" paperSize="9" scale="7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3" tint="0.39998000860214233"/>
    <pageSetUpPr fitToPage="1"/>
  </sheetPr>
  <dimension ref="A1:A1"/>
  <sheetViews>
    <sheetView zoomScalePageLayoutView="0" workbookViewId="0" topLeftCell="A1">
      <selection activeCell="K18" sqref="K18"/>
    </sheetView>
  </sheetViews>
  <sheetFormatPr defaultColWidth="9.140625" defaultRowHeight="12.75"/>
  <cols>
    <col min="1" max="1" width="9.140625" style="141" customWidth="1"/>
    <col min="2" max="2" width="9.28125" style="141" customWidth="1"/>
    <col min="3" max="3" width="9.8515625" style="141" customWidth="1"/>
    <col min="4" max="16384" width="9.140625" style="141" customWidth="1"/>
  </cols>
  <sheetData>
    <row r="1" ht="69" customHeight="1"/>
  </sheetData>
  <sheetProtection/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84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3" tint="0.39998000860214233"/>
    <pageSetUpPr fitToPage="1"/>
  </sheetPr>
  <dimension ref="A2:J42"/>
  <sheetViews>
    <sheetView zoomScale="80" zoomScaleNormal="80" zoomScalePageLayoutView="0" workbookViewId="0" topLeftCell="A1">
      <selection activeCell="K18" sqref="K18"/>
    </sheetView>
  </sheetViews>
  <sheetFormatPr defaultColWidth="9.140625" defaultRowHeight="12.75"/>
  <cols>
    <col min="1" max="1" width="9.140625" style="141" customWidth="1"/>
    <col min="2" max="2" width="19.00390625" style="141" customWidth="1"/>
    <col min="3" max="3" width="13.28125" style="141" customWidth="1"/>
    <col min="4" max="4" width="12.7109375" style="141" customWidth="1"/>
    <col min="5" max="5" width="11.57421875" style="141" customWidth="1"/>
    <col min="6" max="6" width="23.28125" style="141" customWidth="1"/>
    <col min="7" max="7" width="9.140625" style="141" customWidth="1"/>
    <col min="8" max="8" width="16.140625" style="141" customWidth="1"/>
    <col min="9" max="16384" width="9.140625" style="141" customWidth="1"/>
  </cols>
  <sheetData>
    <row r="2" spans="2:6" ht="12.75" customHeight="1">
      <c r="B2" s="738" t="s">
        <v>296</v>
      </c>
      <c r="C2" s="739" t="s">
        <v>297</v>
      </c>
      <c r="D2" s="740"/>
      <c r="E2" s="740"/>
      <c r="F2" s="740"/>
    </row>
    <row r="3" spans="1:6" ht="39">
      <c r="A3" s="488"/>
      <c r="B3" s="738"/>
      <c r="C3" s="508" t="s">
        <v>298</v>
      </c>
      <c r="D3" s="508" t="s">
        <v>299</v>
      </c>
      <c r="E3" s="508" t="s">
        <v>300</v>
      </c>
      <c r="F3" s="508" t="s">
        <v>301</v>
      </c>
    </row>
    <row r="4" spans="2:10" ht="15.75" customHeight="1">
      <c r="B4" s="509" t="s">
        <v>302</v>
      </c>
      <c r="C4" s="510">
        <v>8108.5591</v>
      </c>
      <c r="D4" s="82">
        <v>11304.729680000002</v>
      </c>
      <c r="E4" s="82">
        <f aca="true" t="shared" si="0" ref="E4:E39">D4-C4</f>
        <v>3196.170580000002</v>
      </c>
      <c r="F4" s="511">
        <v>0.39417244674210994</v>
      </c>
      <c r="I4" s="512"/>
      <c r="J4" s="512"/>
    </row>
    <row r="5" spans="2:10" ht="15.75" customHeight="1">
      <c r="B5" s="509" t="s">
        <v>303</v>
      </c>
      <c r="C5" s="510">
        <v>16856.707189999997</v>
      </c>
      <c r="D5" s="82">
        <v>21277.628239999995</v>
      </c>
      <c r="E5" s="82">
        <f t="shared" si="0"/>
        <v>4420.921049999997</v>
      </c>
      <c r="F5" s="511">
        <v>0.26226480653485185</v>
      </c>
      <c r="I5" s="512"/>
      <c r="J5" s="512"/>
    </row>
    <row r="6" spans="2:10" ht="15.75" customHeight="1">
      <c r="B6" s="509" t="s">
        <v>304</v>
      </c>
      <c r="C6" s="510">
        <v>95152.89673000002</v>
      </c>
      <c r="D6" s="82">
        <v>116737.35584</v>
      </c>
      <c r="E6" s="82">
        <f t="shared" si="0"/>
        <v>21584.45910999998</v>
      </c>
      <c r="F6" s="511">
        <v>0.22683974794006234</v>
      </c>
      <c r="I6" s="512"/>
      <c r="J6" s="512"/>
    </row>
    <row r="7" spans="2:10" ht="15.75" customHeight="1">
      <c r="B7" s="509" t="s">
        <v>305</v>
      </c>
      <c r="C7" s="510">
        <v>23120.76888</v>
      </c>
      <c r="D7" s="82">
        <v>28361.976909999998</v>
      </c>
      <c r="E7" s="513">
        <f t="shared" si="0"/>
        <v>5241.208029999998</v>
      </c>
      <c r="F7" s="511">
        <v>0.2266883102894457</v>
      </c>
      <c r="I7" s="512"/>
      <c r="J7" s="512"/>
    </row>
    <row r="8" spans="2:10" ht="15.75" customHeight="1">
      <c r="B8" s="509" t="s">
        <v>306</v>
      </c>
      <c r="C8" s="510">
        <v>20658.872330000002</v>
      </c>
      <c r="D8" s="82">
        <v>24692.96514</v>
      </c>
      <c r="E8" s="82">
        <f t="shared" si="0"/>
        <v>4034.0928099999983</v>
      </c>
      <c r="F8" s="511">
        <v>0.1952716849961771</v>
      </c>
      <c r="I8" s="512"/>
      <c r="J8" s="512"/>
    </row>
    <row r="9" spans="2:10" ht="15.75" customHeight="1">
      <c r="B9" s="509" t="s">
        <v>307</v>
      </c>
      <c r="C9" s="510">
        <v>2180.26836</v>
      </c>
      <c r="D9" s="82">
        <v>2583.3590799999997</v>
      </c>
      <c r="E9" s="82">
        <f t="shared" si="0"/>
        <v>403.0907199999997</v>
      </c>
      <c r="F9" s="511">
        <v>0.18488124094962322</v>
      </c>
      <c r="I9" s="512"/>
      <c r="J9" s="512"/>
    </row>
    <row r="10" spans="2:10" ht="15.75" customHeight="1">
      <c r="B10" s="509" t="s">
        <v>308</v>
      </c>
      <c r="C10" s="510">
        <v>16018.289000000002</v>
      </c>
      <c r="D10" s="82">
        <v>18842.438180000005</v>
      </c>
      <c r="E10" s="82">
        <f t="shared" si="0"/>
        <v>2824.149180000002</v>
      </c>
      <c r="F10" s="511">
        <v>0.17630779292345156</v>
      </c>
      <c r="I10" s="512"/>
      <c r="J10" s="512"/>
    </row>
    <row r="11" spans="2:10" ht="15.75" customHeight="1">
      <c r="B11" s="509" t="s">
        <v>309</v>
      </c>
      <c r="C11" s="510">
        <v>20467.562739999998</v>
      </c>
      <c r="D11" s="82">
        <v>24022.282019999995</v>
      </c>
      <c r="E11" s="82">
        <f t="shared" si="0"/>
        <v>3554.7192799999975</v>
      </c>
      <c r="F11" s="511">
        <v>0.17367574855666468</v>
      </c>
      <c r="I11" s="512"/>
      <c r="J11" s="512"/>
    </row>
    <row r="12" spans="2:10" ht="15.75" customHeight="1">
      <c r="B12" s="509" t="s">
        <v>310</v>
      </c>
      <c r="C12" s="510">
        <v>6942.626929999998</v>
      </c>
      <c r="D12" s="82">
        <v>7905.551530000001</v>
      </c>
      <c r="E12" s="82">
        <f t="shared" si="0"/>
        <v>962.924600000003</v>
      </c>
      <c r="F12" s="511">
        <v>0.13869744258316397</v>
      </c>
      <c r="I12" s="512"/>
      <c r="J12" s="512"/>
    </row>
    <row r="13" spans="2:10" ht="15.75" customHeight="1">
      <c r="B13" s="509" t="s">
        <v>311</v>
      </c>
      <c r="C13" s="510">
        <v>5346.65363</v>
      </c>
      <c r="D13" s="82">
        <v>6081.5558599999995</v>
      </c>
      <c r="E13" s="82">
        <f t="shared" si="0"/>
        <v>734.9022299999997</v>
      </c>
      <c r="F13" s="511">
        <v>0.13745087691420177</v>
      </c>
      <c r="I13" s="512"/>
      <c r="J13" s="512"/>
    </row>
    <row r="14" spans="2:10" ht="15.75" customHeight="1">
      <c r="B14" s="509" t="s">
        <v>312</v>
      </c>
      <c r="C14" s="510">
        <v>16634.08469</v>
      </c>
      <c r="D14" s="82">
        <v>18589.101919999997</v>
      </c>
      <c r="E14" s="82">
        <f t="shared" si="0"/>
        <v>1955.0172299999977</v>
      </c>
      <c r="F14" s="511">
        <v>0.11753079694101265</v>
      </c>
      <c r="I14" s="512"/>
      <c r="J14" s="512"/>
    </row>
    <row r="15" spans="2:10" ht="15.75" customHeight="1">
      <c r="B15" s="509" t="s">
        <v>313</v>
      </c>
      <c r="C15" s="510">
        <v>12752.408959999997</v>
      </c>
      <c r="D15" s="82">
        <v>13961.805620000001</v>
      </c>
      <c r="E15" s="82">
        <f t="shared" si="0"/>
        <v>1209.396660000004</v>
      </c>
      <c r="F15" s="511">
        <v>0.09483672173574997</v>
      </c>
      <c r="I15" s="512"/>
      <c r="J15" s="512"/>
    </row>
    <row r="16" spans="2:10" ht="15.75" customHeight="1">
      <c r="B16" s="509" t="s">
        <v>314</v>
      </c>
      <c r="C16" s="510">
        <v>8091.877600000002</v>
      </c>
      <c r="D16" s="82">
        <v>8854.119480000003</v>
      </c>
      <c r="E16" s="82">
        <f t="shared" si="0"/>
        <v>762.2418800000014</v>
      </c>
      <c r="F16" s="511">
        <v>0.09419839469642999</v>
      </c>
      <c r="I16" s="512"/>
      <c r="J16" s="512"/>
    </row>
    <row r="17" spans="2:10" ht="15.75" customHeight="1">
      <c r="B17" s="509" t="s">
        <v>315</v>
      </c>
      <c r="C17" s="510">
        <v>18154.995899999994</v>
      </c>
      <c r="D17" s="82">
        <v>19782.956009999998</v>
      </c>
      <c r="E17" s="82">
        <f t="shared" si="0"/>
        <v>1627.9601100000036</v>
      </c>
      <c r="F17" s="511">
        <v>0.08967008965284329</v>
      </c>
      <c r="I17" s="512"/>
      <c r="J17" s="512"/>
    </row>
    <row r="18" spans="2:10" ht="15.75" customHeight="1">
      <c r="B18" s="509" t="s">
        <v>316</v>
      </c>
      <c r="C18" s="510">
        <v>14568.89545</v>
      </c>
      <c r="D18" s="82">
        <v>15409.436969999999</v>
      </c>
      <c r="E18" s="82">
        <f t="shared" si="0"/>
        <v>840.5415199999989</v>
      </c>
      <c r="F18" s="511">
        <v>0.05769425162564401</v>
      </c>
      <c r="I18" s="512"/>
      <c r="J18" s="512"/>
    </row>
    <row r="19" spans="2:10" ht="15.75" customHeight="1">
      <c r="B19" s="509" t="s">
        <v>317</v>
      </c>
      <c r="C19" s="510">
        <v>12270.96458</v>
      </c>
      <c r="D19" s="82">
        <v>12915.871379999997</v>
      </c>
      <c r="E19" s="82">
        <f t="shared" si="0"/>
        <v>644.906799999997</v>
      </c>
      <c r="F19" s="511">
        <v>0.05255550986196367</v>
      </c>
      <c r="I19" s="512"/>
      <c r="J19" s="512"/>
    </row>
    <row r="20" spans="2:10" ht="15.75" customHeight="1">
      <c r="B20" s="509" t="s">
        <v>318</v>
      </c>
      <c r="C20" s="510">
        <v>6326.318749999999</v>
      </c>
      <c r="D20" s="82">
        <v>6424.7057700000005</v>
      </c>
      <c r="E20" s="82">
        <f t="shared" si="0"/>
        <v>98.38702000000103</v>
      </c>
      <c r="F20" s="511">
        <v>0.015552017514135041</v>
      </c>
      <c r="I20" s="512"/>
      <c r="J20" s="512"/>
    </row>
    <row r="21" spans="2:10" ht="15.75" customHeight="1">
      <c r="B21" s="509" t="s">
        <v>319</v>
      </c>
      <c r="C21" s="510">
        <v>13727.156799999999</v>
      </c>
      <c r="D21" s="82">
        <v>13851.892510000001</v>
      </c>
      <c r="E21" s="82">
        <f t="shared" si="0"/>
        <v>124.73571000000265</v>
      </c>
      <c r="F21" s="511">
        <v>0.009086784089186173</v>
      </c>
      <c r="I21" s="512"/>
      <c r="J21" s="512"/>
    </row>
    <row r="22" spans="2:10" ht="15.75" customHeight="1">
      <c r="B22" s="509" t="s">
        <v>320</v>
      </c>
      <c r="C22" s="510">
        <v>16772.726480000005</v>
      </c>
      <c r="D22" s="82">
        <v>16576.019790000002</v>
      </c>
      <c r="E22" s="82">
        <f t="shared" si="0"/>
        <v>-196.7066900000027</v>
      </c>
      <c r="F22" s="514">
        <v>-0.011727770689789696</v>
      </c>
      <c r="I22" s="512"/>
      <c r="J22" s="512"/>
    </row>
    <row r="23" spans="2:10" ht="15.75" customHeight="1">
      <c r="B23" s="509" t="s">
        <v>321</v>
      </c>
      <c r="C23" s="510">
        <v>2301.31106</v>
      </c>
      <c r="D23" s="82">
        <v>2273.3382900000006</v>
      </c>
      <c r="E23" s="82">
        <f t="shared" si="0"/>
        <v>-27.9727699999994</v>
      </c>
      <c r="F23" s="514">
        <v>-0.01215514516320948</v>
      </c>
      <c r="I23" s="512"/>
      <c r="J23" s="512"/>
    </row>
    <row r="24" spans="2:10" ht="15.75" customHeight="1">
      <c r="B24" s="509" t="s">
        <v>322</v>
      </c>
      <c r="C24" s="510">
        <v>9069.215570000002</v>
      </c>
      <c r="D24" s="82">
        <v>8908.857909999999</v>
      </c>
      <c r="E24" s="82">
        <f t="shared" si="0"/>
        <v>-160.3576600000033</v>
      </c>
      <c r="F24" s="514">
        <v>-0.017681535824382588</v>
      </c>
      <c r="I24" s="512"/>
      <c r="J24" s="512"/>
    </row>
    <row r="25" spans="2:10" ht="15.75" customHeight="1">
      <c r="B25" s="509" t="s">
        <v>323</v>
      </c>
      <c r="C25" s="510">
        <v>15004.19601</v>
      </c>
      <c r="D25" s="82">
        <v>14694.894459999998</v>
      </c>
      <c r="E25" s="82">
        <f t="shared" si="0"/>
        <v>-309.30155000000195</v>
      </c>
      <c r="F25" s="514">
        <v>-0.0206143368024424</v>
      </c>
      <c r="I25" s="512"/>
      <c r="J25" s="512"/>
    </row>
    <row r="26" spans="2:10" ht="15.75" customHeight="1">
      <c r="B26" s="509" t="s">
        <v>324</v>
      </c>
      <c r="C26" s="510">
        <v>11472.351349999999</v>
      </c>
      <c r="D26" s="82">
        <v>11172.61814</v>
      </c>
      <c r="E26" s="82">
        <f t="shared" si="0"/>
        <v>-299.7332099999985</v>
      </c>
      <c r="F26" s="514">
        <v>-0.026126571690118117</v>
      </c>
      <c r="I26" s="512"/>
      <c r="J26" s="512"/>
    </row>
    <row r="27" spans="2:10" ht="15.75" customHeight="1">
      <c r="B27" s="509" t="s">
        <v>325</v>
      </c>
      <c r="C27" s="510">
        <v>11787.127380000002</v>
      </c>
      <c r="D27" s="82">
        <v>11099.011370000004</v>
      </c>
      <c r="E27" s="82">
        <f t="shared" si="0"/>
        <v>-688.1160099999979</v>
      </c>
      <c r="F27" s="514">
        <v>-0.058378601317872425</v>
      </c>
      <c r="I27" s="512"/>
      <c r="J27" s="512"/>
    </row>
    <row r="28" spans="2:10" ht="15.75" customHeight="1">
      <c r="B28" s="509" t="s">
        <v>326</v>
      </c>
      <c r="C28" s="510">
        <v>7752.585639999998</v>
      </c>
      <c r="D28" s="82">
        <v>7187.064209999999</v>
      </c>
      <c r="E28" s="82">
        <f t="shared" si="0"/>
        <v>-565.5214299999998</v>
      </c>
      <c r="F28" s="514">
        <v>-0.07294616999548553</v>
      </c>
      <c r="I28" s="512"/>
      <c r="J28" s="512"/>
    </row>
    <row r="29" spans="2:10" ht="15.75" customHeight="1">
      <c r="B29" s="509" t="s">
        <v>327</v>
      </c>
      <c r="C29" s="510">
        <v>20707.51557</v>
      </c>
      <c r="D29" s="82">
        <v>19134.957620000005</v>
      </c>
      <c r="E29" s="82">
        <f t="shared" si="0"/>
        <v>-1572.557949999995</v>
      </c>
      <c r="F29" s="514">
        <v>-0.07594141096666551</v>
      </c>
      <c r="I29" s="512"/>
      <c r="J29" s="512"/>
    </row>
    <row r="30" spans="2:10" ht="15.75" customHeight="1">
      <c r="B30" s="509" t="s">
        <v>328</v>
      </c>
      <c r="C30" s="510">
        <v>10858.468670000002</v>
      </c>
      <c r="D30" s="82">
        <v>9666.852009999999</v>
      </c>
      <c r="E30" s="82">
        <f t="shared" si="0"/>
        <v>-1191.6166600000033</v>
      </c>
      <c r="F30" s="514">
        <v>-0.10974076513129571</v>
      </c>
      <c r="I30" s="512"/>
      <c r="J30" s="512"/>
    </row>
    <row r="31" spans="2:10" ht="15.75" customHeight="1">
      <c r="B31" s="509" t="s">
        <v>329</v>
      </c>
      <c r="C31" s="510">
        <v>11291.3177</v>
      </c>
      <c r="D31" s="82">
        <v>10041.107130000002</v>
      </c>
      <c r="E31" s="82">
        <f t="shared" si="0"/>
        <v>-1250.2105699999975</v>
      </c>
      <c r="F31" s="514">
        <v>-0.11072317715407098</v>
      </c>
      <c r="I31" s="512"/>
      <c r="J31" s="512"/>
    </row>
    <row r="32" spans="2:10" ht="15.75" customHeight="1">
      <c r="B32" s="509" t="s">
        <v>330</v>
      </c>
      <c r="C32" s="510">
        <v>8761.699110000001</v>
      </c>
      <c r="D32" s="82">
        <v>7757.401209999999</v>
      </c>
      <c r="E32" s="82">
        <f t="shared" si="0"/>
        <v>-1004.2979000000023</v>
      </c>
      <c r="F32" s="514">
        <v>-0.11462364632606081</v>
      </c>
      <c r="I32" s="512"/>
      <c r="J32" s="512"/>
    </row>
    <row r="33" spans="2:10" ht="15.75" customHeight="1">
      <c r="B33" s="509" t="s">
        <v>331</v>
      </c>
      <c r="C33" s="510">
        <v>14418.760289999995</v>
      </c>
      <c r="D33" s="82">
        <v>12668.571179999999</v>
      </c>
      <c r="E33" s="82">
        <f t="shared" si="0"/>
        <v>-1750.1891099999957</v>
      </c>
      <c r="F33" s="514">
        <v>-0.1213827731926318</v>
      </c>
      <c r="I33" s="512"/>
      <c r="J33" s="512"/>
    </row>
    <row r="34" spans="2:10" ht="15.75" customHeight="1">
      <c r="B34" s="509" t="s">
        <v>332</v>
      </c>
      <c r="C34" s="510">
        <v>43426.78953999998</v>
      </c>
      <c r="D34" s="82">
        <v>37183.61307000001</v>
      </c>
      <c r="E34" s="82">
        <f t="shared" si="0"/>
        <v>-6243.176469999977</v>
      </c>
      <c r="F34" s="514">
        <v>-0.143763251581134</v>
      </c>
      <c r="I34" s="512"/>
      <c r="J34" s="512"/>
    </row>
    <row r="35" spans="2:10" ht="15.75" customHeight="1">
      <c r="B35" s="509" t="s">
        <v>333</v>
      </c>
      <c r="C35" s="510">
        <v>4395.88751</v>
      </c>
      <c r="D35" s="82">
        <v>3610.158070000001</v>
      </c>
      <c r="E35" s="82">
        <f t="shared" si="0"/>
        <v>-785.7294399999987</v>
      </c>
      <c r="F35" s="514">
        <v>-0.17874193509560454</v>
      </c>
      <c r="I35" s="512"/>
      <c r="J35" s="512"/>
    </row>
    <row r="36" spans="2:10" ht="15.75" customHeight="1">
      <c r="B36" s="509" t="s">
        <v>334</v>
      </c>
      <c r="C36" s="510">
        <v>10883.871050000002</v>
      </c>
      <c r="D36" s="82">
        <v>8880.858539999997</v>
      </c>
      <c r="E36" s="82">
        <f t="shared" si="0"/>
        <v>-2003.012510000004</v>
      </c>
      <c r="F36" s="514">
        <v>-0.1840349358053084</v>
      </c>
      <c r="I36" s="512"/>
      <c r="J36" s="512"/>
    </row>
    <row r="37" spans="2:10" ht="15.75" customHeight="1">
      <c r="B37" s="509" t="s">
        <v>335</v>
      </c>
      <c r="C37" s="510">
        <v>13946.902979999999</v>
      </c>
      <c r="D37" s="82">
        <v>10592.520599999998</v>
      </c>
      <c r="E37" s="82">
        <f t="shared" si="0"/>
        <v>-3354.382380000001</v>
      </c>
      <c r="F37" s="514">
        <v>-0.24051091377133826</v>
      </c>
      <c r="I37" s="512"/>
      <c r="J37" s="512"/>
    </row>
    <row r="38" spans="2:10" ht="15.75" customHeight="1">
      <c r="B38" s="509" t="s">
        <v>336</v>
      </c>
      <c r="C38" s="510">
        <v>13668.453319999997</v>
      </c>
      <c r="D38" s="82">
        <v>10258.46915</v>
      </c>
      <c r="E38" s="82">
        <f t="shared" si="0"/>
        <v>-3409.984169999996</v>
      </c>
      <c r="F38" s="514">
        <v>-0.24947842233257134</v>
      </c>
      <c r="I38" s="512"/>
      <c r="J38" s="512"/>
    </row>
    <row r="39" spans="2:10" ht="15.75" customHeight="1">
      <c r="B39" s="509" t="s">
        <v>337</v>
      </c>
      <c r="C39" s="510">
        <v>7896.51325</v>
      </c>
      <c r="D39" s="82">
        <v>5890.9166399999995</v>
      </c>
      <c r="E39" s="82">
        <f t="shared" si="0"/>
        <v>-2005.5966100000005</v>
      </c>
      <c r="F39" s="514">
        <v>-0.25398508765878414</v>
      </c>
      <c r="I39" s="512"/>
      <c r="J39" s="512"/>
    </row>
    <row r="40" spans="2:6" ht="15.75" customHeight="1">
      <c r="B40" s="515" t="s">
        <v>338</v>
      </c>
      <c r="C40" s="516">
        <v>551795.6000999998</v>
      </c>
      <c r="D40" s="516">
        <v>579196.96153</v>
      </c>
      <c r="E40" s="516">
        <v>27401.361430000165</v>
      </c>
      <c r="F40" s="517">
        <v>0.04965853556105615</v>
      </c>
    </row>
    <row r="41" spans="2:6" ht="15.75" customHeight="1">
      <c r="B41" s="515" t="s">
        <v>339</v>
      </c>
      <c r="C41" s="510">
        <v>11964.61507</v>
      </c>
      <c r="D41" s="510">
        <v>16122.558130000003</v>
      </c>
      <c r="E41" s="516">
        <v>4157.943060000003</v>
      </c>
      <c r="F41" s="517">
        <v>0.34752000258040927</v>
      </c>
    </row>
    <row r="42" spans="2:6" ht="15.75" customHeight="1">
      <c r="B42" s="515" t="s">
        <v>340</v>
      </c>
      <c r="C42" s="516">
        <v>563760.2151699997</v>
      </c>
      <c r="D42" s="516">
        <v>595319.51966</v>
      </c>
      <c r="E42" s="516">
        <v>31559.30449000017</v>
      </c>
      <c r="F42" s="517">
        <v>0.0559800135603461</v>
      </c>
    </row>
  </sheetData>
  <sheetProtection/>
  <mergeCells count="2">
    <mergeCell ref="B2:B3"/>
    <mergeCell ref="C2:F2"/>
  </mergeCells>
  <conditionalFormatting sqref="E4:E39">
    <cfRule type="cellIs" priority="3" dxfId="1" operator="lessThan" stopIfTrue="1">
      <formula>0</formula>
    </cfRule>
  </conditionalFormatting>
  <conditionalFormatting sqref="E40">
    <cfRule type="cellIs" priority="1" dxfId="1" operator="lessThan" stopIfTrue="1">
      <formula>0</formula>
    </cfRule>
  </conditionalFormatting>
  <conditionalFormatting sqref="E41">
    <cfRule type="cellIs" priority="2" dxfId="1" operator="lessThan" stopIfTrue="1">
      <formula>0</formula>
    </cfRule>
  </conditionalFormatting>
  <printOptions/>
  <pageMargins left="0.4330708661417323" right="0.7086614173228347" top="0.7480314960629921" bottom="0.7480314960629921" header="0.31496062992125984" footer="0.31496062992125984"/>
  <pageSetup fitToHeight="1" fitToWidth="1"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D27"/>
  <sheetViews>
    <sheetView zoomScale="75" zoomScaleNormal="75" zoomScalePageLayoutView="0" workbookViewId="0" topLeftCell="A1">
      <selection activeCell="K18" sqref="K18"/>
    </sheetView>
  </sheetViews>
  <sheetFormatPr defaultColWidth="9.140625" defaultRowHeight="12.75"/>
  <cols>
    <col min="1" max="1" width="44.28125" style="518" customWidth="1"/>
    <col min="2" max="2" width="29.7109375" style="518" customWidth="1"/>
    <col min="3" max="3" width="18.00390625" style="518" customWidth="1"/>
    <col min="4" max="4" width="12.7109375" style="518" bestFit="1" customWidth="1"/>
    <col min="5" max="16384" width="9.140625" style="518" customWidth="1"/>
  </cols>
  <sheetData>
    <row r="1" spans="1:3" ht="48.75" customHeight="1" thickBot="1">
      <c r="A1" s="741" t="s">
        <v>341</v>
      </c>
      <c r="B1" s="742"/>
      <c r="C1" s="742"/>
    </row>
    <row r="2" spans="1:3" ht="36" customHeight="1" thickBot="1">
      <c r="A2" s="519" t="s">
        <v>342</v>
      </c>
      <c r="B2" s="520">
        <v>595319.51966</v>
      </c>
      <c r="C2" s="521" t="s">
        <v>343</v>
      </c>
    </row>
    <row r="3" spans="1:3" ht="26.25" customHeight="1" thickBot="1">
      <c r="A3" s="522" t="s">
        <v>344</v>
      </c>
      <c r="B3" s="520">
        <v>18101.396989999997</v>
      </c>
      <c r="C3" s="523">
        <v>0.030406187588705478</v>
      </c>
    </row>
    <row r="4" spans="1:3" ht="26.25" customHeight="1" thickBot="1">
      <c r="A4" s="522" t="s">
        <v>345</v>
      </c>
      <c r="B4" s="520">
        <v>8617.2</v>
      </c>
      <c r="C4" s="523">
        <v>0.015</v>
      </c>
    </row>
    <row r="5" spans="1:3" ht="26.25" customHeight="1" thickBot="1">
      <c r="A5" s="522" t="s">
        <v>346</v>
      </c>
      <c r="B5" s="520">
        <v>4125.06265</v>
      </c>
      <c r="C5" s="523">
        <v>0.0069291573915733744</v>
      </c>
    </row>
    <row r="6" spans="1:3" ht="26.25" customHeight="1" thickBot="1">
      <c r="A6" s="522" t="s">
        <v>347</v>
      </c>
      <c r="B6" s="520">
        <v>3018.44846</v>
      </c>
      <c r="C6" s="523">
        <v>0.005070299831129176</v>
      </c>
    </row>
    <row r="7" spans="1:3" ht="26.25" customHeight="1" thickBot="1">
      <c r="A7" s="522" t="s">
        <v>348</v>
      </c>
      <c r="B7" s="520">
        <v>313046.95795</v>
      </c>
      <c r="C7" s="523">
        <v>0.5258469571580451</v>
      </c>
    </row>
    <row r="8" spans="1:3" ht="26.25" customHeight="1" thickBot="1">
      <c r="A8" s="522" t="s">
        <v>349</v>
      </c>
      <c r="B8" s="520">
        <v>1812.06229</v>
      </c>
      <c r="C8" s="523">
        <v>0.0030438482699759427</v>
      </c>
    </row>
    <row r="9" spans="1:3" ht="26.25" customHeight="1" thickBot="1">
      <c r="A9" s="522" t="s">
        <v>350</v>
      </c>
      <c r="B9" s="520">
        <v>1283.4659</v>
      </c>
      <c r="C9" s="523">
        <v>0.0021559277961068963</v>
      </c>
    </row>
    <row r="10" spans="1:4" ht="26.25" customHeight="1" thickBot="1">
      <c r="A10" s="522" t="s">
        <v>351</v>
      </c>
      <c r="B10" s="520">
        <v>10775.358320000001</v>
      </c>
      <c r="C10" s="523">
        <v>0.018100126006541907</v>
      </c>
      <c r="D10" s="524"/>
    </row>
    <row r="11" spans="1:3" ht="24" customHeight="1" thickBot="1">
      <c r="A11" s="743" t="s">
        <v>352</v>
      </c>
      <c r="B11" s="743"/>
      <c r="C11" s="743"/>
    </row>
    <row r="12" spans="1:3" ht="24" customHeight="1" thickBot="1">
      <c r="A12" s="743" t="s">
        <v>353</v>
      </c>
      <c r="B12" s="743"/>
      <c r="C12" s="743"/>
    </row>
    <row r="13" spans="1:3" ht="30" customHeight="1" thickBot="1">
      <c r="A13" s="525" t="s">
        <v>786</v>
      </c>
      <c r="B13" s="520">
        <v>58934.692109999996</v>
      </c>
      <c r="C13" s="523">
        <v>0.09899674068080094</v>
      </c>
    </row>
    <row r="14" spans="1:3" ht="26.25" customHeight="1" thickBot="1">
      <c r="A14" s="525" t="s">
        <v>787</v>
      </c>
      <c r="B14" s="520">
        <v>150201.74756</v>
      </c>
      <c r="C14" s="523">
        <v>0.25230442241467826</v>
      </c>
    </row>
    <row r="15" spans="1:3" ht="23.25" customHeight="1" thickBot="1">
      <c r="A15" s="525" t="s">
        <v>788</v>
      </c>
      <c r="B15" s="520">
        <v>5973.22095</v>
      </c>
      <c r="C15" s="523">
        <v>0.010033638664177242</v>
      </c>
    </row>
    <row r="16" spans="1:3" ht="42" thickBot="1">
      <c r="A16" s="526" t="s">
        <v>354</v>
      </c>
      <c r="B16" s="520">
        <v>7119.4</v>
      </c>
      <c r="C16" s="523">
        <v>0.012</v>
      </c>
    </row>
    <row r="17" spans="1:4" ht="33.75" customHeight="1" thickBot="1">
      <c r="A17" s="526" t="s">
        <v>789</v>
      </c>
      <c r="B17" s="520">
        <v>12310.48369</v>
      </c>
      <c r="C17" s="523">
        <v>0.02067878388572037</v>
      </c>
      <c r="D17" s="524"/>
    </row>
    <row r="18" ht="31.5" customHeight="1">
      <c r="D18" s="524"/>
    </row>
    <row r="19" ht="33.75" customHeight="1"/>
    <row r="21" ht="37.5" customHeight="1"/>
    <row r="22" ht="27" customHeight="1">
      <c r="D22" s="527"/>
    </row>
    <row r="23" ht="29.25" customHeight="1">
      <c r="D23" s="527"/>
    </row>
    <row r="24" ht="24.75" customHeight="1">
      <c r="D24" s="527"/>
    </row>
    <row r="25" ht="42.75" customHeight="1">
      <c r="D25" s="527"/>
    </row>
    <row r="26" ht="13.5">
      <c r="D26" s="527"/>
    </row>
    <row r="27" ht="13.5">
      <c r="D27" s="528"/>
    </row>
    <row r="28" ht="15" customHeight="1"/>
  </sheetData>
  <sheetProtection/>
  <mergeCells count="3">
    <mergeCell ref="A1:C1"/>
    <mergeCell ref="A11:C11"/>
    <mergeCell ref="A12:C1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3" tint="0.39998000860214233"/>
    <pageSetUpPr fitToPage="1"/>
  </sheetPr>
  <dimension ref="A1:M41"/>
  <sheetViews>
    <sheetView zoomScale="85" zoomScaleNormal="85" zoomScalePageLayoutView="0" workbookViewId="0" topLeftCell="A1">
      <selection activeCell="K18" sqref="K18"/>
    </sheetView>
  </sheetViews>
  <sheetFormatPr defaultColWidth="9.140625" defaultRowHeight="12.75"/>
  <cols>
    <col min="1" max="1" width="21.140625" style="529" customWidth="1"/>
    <col min="2" max="2" width="22.140625" style="529" customWidth="1"/>
    <col min="3" max="3" width="21.28125" style="529" customWidth="1"/>
    <col min="4" max="4" width="21.8515625" style="529" customWidth="1"/>
    <col min="5" max="5" width="9.140625" style="529" customWidth="1"/>
    <col min="6" max="6" width="17.140625" style="529" bestFit="1" customWidth="1"/>
    <col min="7" max="7" width="11.421875" style="529" bestFit="1" customWidth="1"/>
    <col min="8" max="8" width="12.8515625" style="529" bestFit="1" customWidth="1"/>
    <col min="9" max="12" width="9.140625" style="529" customWidth="1"/>
    <col min="13" max="13" width="13.57421875" style="529" bestFit="1" customWidth="1"/>
    <col min="14" max="16384" width="9.140625" style="529" customWidth="1"/>
  </cols>
  <sheetData>
    <row r="1" spans="1:4" ht="27" customHeight="1" thickBot="1">
      <c r="A1" s="744" t="s">
        <v>355</v>
      </c>
      <c r="B1" s="745"/>
      <c r="C1" s="745"/>
      <c r="D1" s="745"/>
    </row>
    <row r="2" spans="1:4" ht="27" customHeight="1" thickBot="1">
      <c r="A2" s="530" t="s">
        <v>296</v>
      </c>
      <c r="B2" s="531" t="s">
        <v>356</v>
      </c>
      <c r="C2" s="532" t="s">
        <v>357</v>
      </c>
      <c r="D2" s="533" t="s">
        <v>358</v>
      </c>
    </row>
    <row r="3" spans="1:6" ht="15" customHeight="1">
      <c r="A3" s="534" t="s">
        <v>305</v>
      </c>
      <c r="B3" s="535">
        <v>-15281590.469999999</v>
      </c>
      <c r="C3" s="536">
        <v>-14049941.489999998</v>
      </c>
      <c r="D3" s="537">
        <f aca="true" t="shared" si="0" ref="D3:D38">B3-C3</f>
        <v>-1231648.9800000004</v>
      </c>
      <c r="E3" s="538"/>
      <c r="F3" s="539"/>
    </row>
    <row r="4" spans="1:6" ht="15" customHeight="1">
      <c r="A4" s="540" t="s">
        <v>330</v>
      </c>
      <c r="B4" s="541">
        <v>-5116806.66</v>
      </c>
      <c r="C4" s="542">
        <v>-4647737.579999999</v>
      </c>
      <c r="D4" s="537">
        <f t="shared" si="0"/>
        <v>-469069.080000001</v>
      </c>
      <c r="E4" s="538"/>
      <c r="F4" s="539"/>
    </row>
    <row r="5" spans="1:6" ht="15" customHeight="1">
      <c r="A5" s="540" t="s">
        <v>304</v>
      </c>
      <c r="B5" s="541">
        <v>-72752165.31</v>
      </c>
      <c r="C5" s="542">
        <v>-75592313.8</v>
      </c>
      <c r="D5" s="537">
        <f t="shared" si="0"/>
        <v>2840148.4899999946</v>
      </c>
      <c r="E5" s="538"/>
      <c r="F5" s="539"/>
    </row>
    <row r="6" spans="1:6" ht="15" customHeight="1">
      <c r="A6" s="540" t="s">
        <v>310</v>
      </c>
      <c r="B6" s="541">
        <v>-3862801.11</v>
      </c>
      <c r="C6" s="542">
        <v>-3747542.57</v>
      </c>
      <c r="D6" s="537">
        <f t="shared" si="0"/>
        <v>-115258.54000000004</v>
      </c>
      <c r="E6" s="538"/>
      <c r="F6" s="539"/>
    </row>
    <row r="7" spans="1:6" ht="15" customHeight="1">
      <c r="A7" s="540" t="s">
        <v>302</v>
      </c>
      <c r="B7" s="541">
        <v>-4961606.29</v>
      </c>
      <c r="C7" s="542">
        <v>-5642324.23</v>
      </c>
      <c r="D7" s="537">
        <f t="shared" si="0"/>
        <v>680717.9400000004</v>
      </c>
      <c r="E7" s="538"/>
      <c r="F7" s="539"/>
    </row>
    <row r="8" spans="1:6" ht="15" customHeight="1">
      <c r="A8" s="540" t="s">
        <v>319</v>
      </c>
      <c r="B8" s="541">
        <v>-8089958.0600000005</v>
      </c>
      <c r="C8" s="542">
        <v>-7883255.27</v>
      </c>
      <c r="D8" s="537">
        <f t="shared" si="0"/>
        <v>-206702.79000000097</v>
      </c>
      <c r="E8" s="538"/>
      <c r="F8" s="539"/>
    </row>
    <row r="9" spans="1:6" ht="15" customHeight="1">
      <c r="A9" s="540" t="s">
        <v>323</v>
      </c>
      <c r="B9" s="541">
        <v>-9778584.46</v>
      </c>
      <c r="C9" s="542">
        <v>-8644083.6</v>
      </c>
      <c r="D9" s="537">
        <f t="shared" si="0"/>
        <v>-1134500.8600000013</v>
      </c>
      <c r="E9" s="538"/>
      <c r="F9" s="539"/>
    </row>
    <row r="10" spans="1:6" ht="15" customHeight="1">
      <c r="A10" s="540" t="s">
        <v>337</v>
      </c>
      <c r="B10" s="541">
        <v>-5475795.05</v>
      </c>
      <c r="C10" s="542">
        <v>-3575645.74</v>
      </c>
      <c r="D10" s="537">
        <f t="shared" si="0"/>
        <v>-1900149.3099999996</v>
      </c>
      <c r="E10" s="538"/>
      <c r="F10" s="539"/>
    </row>
    <row r="11" spans="1:6" ht="15" customHeight="1">
      <c r="A11" s="540" t="s">
        <v>328</v>
      </c>
      <c r="B11" s="541">
        <v>-6978942.89</v>
      </c>
      <c r="C11" s="542">
        <v>-6325453.37</v>
      </c>
      <c r="D11" s="537">
        <f t="shared" si="0"/>
        <v>-653489.5199999996</v>
      </c>
      <c r="E11" s="538"/>
      <c r="F11" s="539"/>
    </row>
    <row r="12" spans="1:7" ht="15" customHeight="1">
      <c r="A12" s="540" t="s">
        <v>359</v>
      </c>
      <c r="B12" s="541">
        <v>-29265103.790000003</v>
      </c>
      <c r="C12" s="542">
        <v>-25591438.21</v>
      </c>
      <c r="D12" s="537">
        <f t="shared" si="0"/>
        <v>-3673665.580000002</v>
      </c>
      <c r="E12" s="538"/>
      <c r="F12" s="539"/>
      <c r="G12" s="538"/>
    </row>
    <row r="13" spans="1:6" ht="15" customHeight="1">
      <c r="A13" s="540" t="s">
        <v>329</v>
      </c>
      <c r="B13" s="541">
        <v>-5652293.9</v>
      </c>
      <c r="C13" s="542">
        <v>-5106249.34</v>
      </c>
      <c r="D13" s="537">
        <f t="shared" si="0"/>
        <v>-546044.5600000005</v>
      </c>
      <c r="E13" s="538"/>
      <c r="F13" s="539"/>
    </row>
    <row r="14" spans="1:6" ht="15" customHeight="1">
      <c r="A14" s="540" t="s">
        <v>360</v>
      </c>
      <c r="B14" s="541">
        <v>-7498115.98</v>
      </c>
      <c r="C14" s="542">
        <v>-7367070.94</v>
      </c>
      <c r="D14" s="537">
        <f t="shared" si="0"/>
        <v>-131045.04000000004</v>
      </c>
      <c r="E14" s="538"/>
      <c r="F14" s="539"/>
    </row>
    <row r="15" spans="1:6" ht="15" customHeight="1">
      <c r="A15" s="540" t="s">
        <v>335</v>
      </c>
      <c r="B15" s="541">
        <v>-8898880.6</v>
      </c>
      <c r="C15" s="542">
        <v>-7151697.279999999</v>
      </c>
      <c r="D15" s="537">
        <f t="shared" si="0"/>
        <v>-1747183.3200000003</v>
      </c>
      <c r="E15" s="538"/>
      <c r="F15" s="539"/>
    </row>
    <row r="16" spans="1:6" ht="15" customHeight="1">
      <c r="A16" s="540" t="s">
        <v>336</v>
      </c>
      <c r="B16" s="541">
        <v>-7997729.370000001</v>
      </c>
      <c r="C16" s="542">
        <v>-7162077.46</v>
      </c>
      <c r="D16" s="537">
        <f t="shared" si="0"/>
        <v>-835651.9100000011</v>
      </c>
      <c r="E16" s="538"/>
      <c r="F16" s="539"/>
    </row>
    <row r="17" spans="1:6" ht="15" customHeight="1">
      <c r="A17" s="540" t="s">
        <v>334</v>
      </c>
      <c r="B17" s="541">
        <v>-6884719.06</v>
      </c>
      <c r="C17" s="542">
        <v>-5511272.07</v>
      </c>
      <c r="D17" s="537">
        <f t="shared" si="0"/>
        <v>-1373446.9899999993</v>
      </c>
      <c r="E17" s="538"/>
      <c r="F17" s="539"/>
    </row>
    <row r="18" spans="1:6" ht="15" customHeight="1">
      <c r="A18" s="540" t="s">
        <v>320</v>
      </c>
      <c r="B18" s="541">
        <v>-9493734.28</v>
      </c>
      <c r="C18" s="542">
        <v>-8903910.04</v>
      </c>
      <c r="D18" s="537">
        <f t="shared" si="0"/>
        <v>-589824.2400000002</v>
      </c>
      <c r="E18" s="538"/>
      <c r="F18" s="539"/>
    </row>
    <row r="19" spans="1:6" ht="15" customHeight="1">
      <c r="A19" s="540" t="s">
        <v>325</v>
      </c>
      <c r="B19" s="541">
        <v>-8442919.819999998</v>
      </c>
      <c r="C19" s="542">
        <v>-7666080.250000001</v>
      </c>
      <c r="D19" s="537">
        <f t="shared" si="0"/>
        <v>-776839.5699999975</v>
      </c>
      <c r="E19" s="538"/>
      <c r="F19" s="539"/>
    </row>
    <row r="20" spans="1:6" ht="15" customHeight="1">
      <c r="A20" s="540" t="s">
        <v>315</v>
      </c>
      <c r="B20" s="541">
        <v>-10890624.589999998</v>
      </c>
      <c r="C20" s="542">
        <v>-11163520.91</v>
      </c>
      <c r="D20" s="537">
        <f t="shared" si="0"/>
        <v>272896.32000000216</v>
      </c>
      <c r="E20" s="538"/>
      <c r="F20" s="539"/>
    </row>
    <row r="21" spans="1:6" ht="15" customHeight="1">
      <c r="A21" s="540" t="s">
        <v>306</v>
      </c>
      <c r="B21" s="541">
        <v>-11084179.530000001</v>
      </c>
      <c r="C21" s="542">
        <v>-13988087.690000001</v>
      </c>
      <c r="D21" s="537">
        <f t="shared" si="0"/>
        <v>2903908.16</v>
      </c>
      <c r="E21" s="538"/>
      <c r="F21" s="539"/>
    </row>
    <row r="22" spans="1:6" ht="15" customHeight="1">
      <c r="A22" s="540" t="s">
        <v>312</v>
      </c>
      <c r="B22" s="541">
        <v>-10496477.6</v>
      </c>
      <c r="C22" s="542">
        <v>-11094364.370000001</v>
      </c>
      <c r="D22" s="537">
        <f t="shared" si="0"/>
        <v>597886.7700000014</v>
      </c>
      <c r="E22" s="538"/>
      <c r="F22" s="539"/>
    </row>
    <row r="23" spans="1:6" ht="15" customHeight="1">
      <c r="A23" s="540" t="s">
        <v>303</v>
      </c>
      <c r="B23" s="541">
        <v>-11085910.62</v>
      </c>
      <c r="C23" s="542">
        <v>-10418704.560000002</v>
      </c>
      <c r="D23" s="537">
        <f t="shared" si="0"/>
        <v>-667206.0599999968</v>
      </c>
      <c r="E23" s="538"/>
      <c r="F23" s="539"/>
    </row>
    <row r="24" spans="1:6" ht="15" customHeight="1">
      <c r="A24" s="540" t="s">
        <v>326</v>
      </c>
      <c r="B24" s="541">
        <v>-5481270.6</v>
      </c>
      <c r="C24" s="542">
        <v>-5049453.919999999</v>
      </c>
      <c r="D24" s="537">
        <f t="shared" si="0"/>
        <v>-431816.68000000063</v>
      </c>
      <c r="E24" s="538"/>
      <c r="F24" s="539"/>
    </row>
    <row r="25" spans="1:6" ht="15" customHeight="1">
      <c r="A25" s="540" t="s">
        <v>314</v>
      </c>
      <c r="B25" s="541">
        <v>-5657741.63</v>
      </c>
      <c r="C25" s="542">
        <v>-5674892.81</v>
      </c>
      <c r="D25" s="537">
        <f t="shared" si="0"/>
        <v>17151.179999999702</v>
      </c>
      <c r="E25" s="538"/>
      <c r="F25" s="539"/>
    </row>
    <row r="26" spans="1:6" ht="15" customHeight="1">
      <c r="A26" s="540" t="s">
        <v>313</v>
      </c>
      <c r="B26" s="541">
        <v>-7114051.42</v>
      </c>
      <c r="C26" s="542">
        <v>-7955585.23</v>
      </c>
      <c r="D26" s="537">
        <f t="shared" si="0"/>
        <v>841533.8100000005</v>
      </c>
      <c r="E26" s="538"/>
      <c r="F26" s="539"/>
    </row>
    <row r="27" spans="1:6" ht="15" customHeight="1">
      <c r="A27" s="540" t="s">
        <v>324</v>
      </c>
      <c r="B27" s="541">
        <v>-7959005.979999999</v>
      </c>
      <c r="C27" s="542">
        <v>-7199301.92</v>
      </c>
      <c r="D27" s="537">
        <f t="shared" si="0"/>
        <v>-759704.0599999987</v>
      </c>
      <c r="E27" s="538"/>
      <c r="F27" s="539"/>
    </row>
    <row r="28" spans="1:6" ht="15" customHeight="1">
      <c r="A28" s="540" t="s">
        <v>307</v>
      </c>
      <c r="B28" s="541">
        <v>-1459094.7</v>
      </c>
      <c r="C28" s="542">
        <v>-1739748.0300000003</v>
      </c>
      <c r="D28" s="537">
        <f t="shared" si="0"/>
        <v>280653.3300000003</v>
      </c>
      <c r="E28" s="538"/>
      <c r="F28" s="539"/>
    </row>
    <row r="29" spans="1:6" ht="15" customHeight="1">
      <c r="A29" s="540" t="s">
        <v>333</v>
      </c>
      <c r="B29" s="541">
        <v>-2608233.78</v>
      </c>
      <c r="C29" s="542">
        <v>-2384290.73</v>
      </c>
      <c r="D29" s="537">
        <f t="shared" si="0"/>
        <v>-223943.0499999998</v>
      </c>
      <c r="E29" s="538"/>
      <c r="F29" s="539"/>
    </row>
    <row r="30" spans="1:6" ht="15" customHeight="1">
      <c r="A30" s="540" t="s">
        <v>316</v>
      </c>
      <c r="B30" s="541">
        <v>-9006980.83</v>
      </c>
      <c r="C30" s="542">
        <v>-10395773.529999997</v>
      </c>
      <c r="D30" s="537">
        <f t="shared" si="0"/>
        <v>1388792.6999999974</v>
      </c>
      <c r="E30" s="538"/>
      <c r="F30" s="539"/>
    </row>
    <row r="31" spans="1:6" ht="15" customHeight="1">
      <c r="A31" s="540" t="s">
        <v>318</v>
      </c>
      <c r="B31" s="541">
        <v>-3507697.82</v>
      </c>
      <c r="C31" s="542">
        <v>-3310464.7800000003</v>
      </c>
      <c r="D31" s="537">
        <f t="shared" si="0"/>
        <v>-197233.03999999957</v>
      </c>
      <c r="E31" s="538"/>
      <c r="F31" s="539"/>
    </row>
    <row r="32" spans="1:6" ht="15" customHeight="1">
      <c r="A32" s="540" t="s">
        <v>327</v>
      </c>
      <c r="B32" s="541">
        <v>-12222097.49</v>
      </c>
      <c r="C32" s="542">
        <v>-12570182.7</v>
      </c>
      <c r="D32" s="537">
        <f t="shared" si="0"/>
        <v>348085.20999999903</v>
      </c>
      <c r="E32" s="538"/>
      <c r="F32" s="539"/>
    </row>
    <row r="33" spans="1:6" ht="15" customHeight="1">
      <c r="A33" s="540" t="s">
        <v>309</v>
      </c>
      <c r="B33" s="541">
        <v>-15358591.239999996</v>
      </c>
      <c r="C33" s="542">
        <v>-14833399.79</v>
      </c>
      <c r="D33" s="537">
        <f t="shared" si="0"/>
        <v>-525191.4499999974</v>
      </c>
      <c r="E33" s="538"/>
      <c r="F33" s="539"/>
    </row>
    <row r="34" spans="1:6" ht="15" customHeight="1">
      <c r="A34" s="540" t="s">
        <v>321</v>
      </c>
      <c r="B34" s="541">
        <v>-1335385.98</v>
      </c>
      <c r="C34" s="542">
        <v>-1241342.2600000002</v>
      </c>
      <c r="D34" s="537">
        <f t="shared" si="0"/>
        <v>-94043.71999999974</v>
      </c>
      <c r="E34" s="538"/>
      <c r="F34" s="539"/>
    </row>
    <row r="35" spans="1:6" ht="15" customHeight="1">
      <c r="A35" s="540" t="s">
        <v>361</v>
      </c>
      <c r="B35" s="541">
        <v>-3255191.43</v>
      </c>
      <c r="C35" s="542">
        <v>-3511734.5199999996</v>
      </c>
      <c r="D35" s="537">
        <f t="shared" si="0"/>
        <v>256543.08999999939</v>
      </c>
      <c r="E35" s="538"/>
      <c r="F35" s="539"/>
    </row>
    <row r="36" spans="1:6" ht="15" customHeight="1">
      <c r="A36" s="540" t="s">
        <v>331</v>
      </c>
      <c r="B36" s="541">
        <v>-9734097.120000001</v>
      </c>
      <c r="C36" s="542">
        <v>-8228092.49</v>
      </c>
      <c r="D36" s="537">
        <f t="shared" si="0"/>
        <v>-1506004.6300000008</v>
      </c>
      <c r="E36" s="538"/>
      <c r="F36" s="539"/>
    </row>
    <row r="37" spans="1:6" ht="15" customHeight="1">
      <c r="A37" s="540" t="s">
        <v>322</v>
      </c>
      <c r="B37" s="541">
        <v>-5581613.479999999</v>
      </c>
      <c r="C37" s="542">
        <v>-5525220.15</v>
      </c>
      <c r="D37" s="537">
        <f t="shared" si="0"/>
        <v>-56393.32999999821</v>
      </c>
      <c r="E37" s="538"/>
      <c r="F37" s="539"/>
    </row>
    <row r="38" spans="1:6" ht="15" customHeight="1" thickBot="1">
      <c r="A38" s="543" t="s">
        <v>308</v>
      </c>
      <c r="B38" s="544">
        <v>-10413578.620000001</v>
      </c>
      <c r="C38" s="545">
        <v>-9914507.34</v>
      </c>
      <c r="D38" s="537">
        <f t="shared" si="0"/>
        <v>-499071.2800000012</v>
      </c>
      <c r="E38" s="538"/>
      <c r="F38" s="539"/>
    </row>
    <row r="39" spans="1:13" ht="25.5" customHeight="1" thickBot="1">
      <c r="A39" s="546" t="s">
        <v>4</v>
      </c>
      <c r="B39" s="547">
        <f>SUM(B3:B38)</f>
        <v>-360683571.56000006</v>
      </c>
      <c r="C39" s="548">
        <f>SUM(C3:C38)</f>
        <v>-350766760.96999985</v>
      </c>
      <c r="D39" s="549">
        <f>SUM(D3:D38)</f>
        <v>-9916810.590000005</v>
      </c>
      <c r="E39" s="539"/>
      <c r="M39" s="550"/>
    </row>
    <row r="41" spans="1:4" ht="51" customHeight="1">
      <c r="A41" s="551"/>
      <c r="B41" s="746"/>
      <c r="C41" s="747"/>
      <c r="D41" s="747"/>
    </row>
  </sheetData>
  <sheetProtection/>
  <mergeCells count="2">
    <mergeCell ref="A1:D1"/>
    <mergeCell ref="B41:D41"/>
  </mergeCells>
  <printOptions/>
  <pageMargins left="0.7874015748031497" right="0.7874015748031497" top="1.3779527559055118" bottom="0.984251968503937" header="0.9055118110236221" footer="0.5118110236220472"/>
  <pageSetup fitToHeight="1" fitToWidth="1"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3" tint="0.39998000860214233"/>
    <pageSetUpPr fitToPage="1"/>
  </sheetPr>
  <dimension ref="A1:D21"/>
  <sheetViews>
    <sheetView zoomScalePageLayoutView="0" workbookViewId="0" topLeftCell="A1">
      <selection activeCell="K18" sqref="K18"/>
    </sheetView>
  </sheetViews>
  <sheetFormatPr defaultColWidth="9.140625" defaultRowHeight="12.75"/>
  <cols>
    <col min="1" max="2" width="18.00390625" style="141" customWidth="1"/>
    <col min="3" max="3" width="22.28125" style="141" customWidth="1"/>
    <col min="4" max="4" width="20.140625" style="141" customWidth="1"/>
    <col min="5" max="5" width="17.28125" style="141" customWidth="1"/>
    <col min="6" max="6" width="9.140625" style="141" customWidth="1"/>
    <col min="7" max="7" width="13.8515625" style="141" bestFit="1" customWidth="1"/>
    <col min="8" max="8" width="16.7109375" style="141" bestFit="1" customWidth="1"/>
    <col min="9" max="9" width="12.7109375" style="141" bestFit="1" customWidth="1"/>
    <col min="10" max="16384" width="9.140625" style="141" customWidth="1"/>
  </cols>
  <sheetData>
    <row r="1" ht="12.75">
      <c r="D1" s="552"/>
    </row>
    <row r="5" spans="1:4" ht="30.75" customHeight="1">
      <c r="A5" s="737" t="s">
        <v>790</v>
      </c>
      <c r="B5" s="737"/>
      <c r="C5" s="737"/>
      <c r="D5" s="737"/>
    </row>
    <row r="6" spans="1:4" ht="58.5" customHeight="1">
      <c r="A6" s="553" t="s">
        <v>362</v>
      </c>
      <c r="B6" s="553" t="s">
        <v>363</v>
      </c>
      <c r="C6" s="553" t="s">
        <v>364</v>
      </c>
      <c r="D6" s="553" t="s">
        <v>365</v>
      </c>
    </row>
    <row r="7" spans="1:4" ht="18" customHeight="1">
      <c r="A7" s="554">
        <v>40939</v>
      </c>
      <c r="B7" s="555">
        <v>27382</v>
      </c>
      <c r="C7" s="556">
        <v>17645.513721101215</v>
      </c>
      <c r="D7" s="556">
        <v>422.3197700000009</v>
      </c>
    </row>
    <row r="8" spans="1:4" ht="21" customHeight="1">
      <c r="A8" s="554">
        <v>40968</v>
      </c>
      <c r="B8" s="555">
        <v>52074</v>
      </c>
      <c r="C8" s="556">
        <v>35582.77904572097</v>
      </c>
      <c r="D8" s="556">
        <v>1789.9052139999994</v>
      </c>
    </row>
    <row r="9" spans="1:4" ht="20.25" customHeight="1">
      <c r="A9" s="554">
        <v>40999</v>
      </c>
      <c r="B9" s="555">
        <v>69561</v>
      </c>
      <c r="C9" s="556">
        <v>46828.34038266691</v>
      </c>
      <c r="D9" s="556">
        <v>4132.421983999988</v>
      </c>
    </row>
    <row r="10" spans="1:4" ht="20.25" customHeight="1">
      <c r="A10" s="554">
        <v>41029</v>
      </c>
      <c r="B10" s="555">
        <v>94330</v>
      </c>
      <c r="C10" s="556">
        <v>61410.05895138358</v>
      </c>
      <c r="D10" s="556">
        <v>6880.753953999973</v>
      </c>
    </row>
    <row r="11" spans="1:4" ht="22.5" customHeight="1">
      <c r="A11" s="554">
        <v>41060</v>
      </c>
      <c r="B11" s="555">
        <v>115314</v>
      </c>
      <c r="C11" s="556">
        <v>75466.49403806115</v>
      </c>
      <c r="D11" s="556">
        <v>10397.68173949995</v>
      </c>
    </row>
    <row r="12" spans="1:4" ht="23.25" customHeight="1">
      <c r="A12" s="554">
        <v>41090</v>
      </c>
      <c r="B12" s="555">
        <v>134931</v>
      </c>
      <c r="C12" s="556">
        <v>87406.19344194367</v>
      </c>
      <c r="D12" s="556">
        <v>14266.691419099912</v>
      </c>
    </row>
    <row r="13" spans="1:4" ht="24.75" customHeight="1">
      <c r="A13" s="554">
        <v>41121</v>
      </c>
      <c r="B13" s="555">
        <v>157340</v>
      </c>
      <c r="C13" s="556">
        <v>99923.23997021257</v>
      </c>
      <c r="D13" s="556">
        <v>18128.288338399874</v>
      </c>
    </row>
    <row r="14" spans="1:4" ht="21.75" customHeight="1">
      <c r="A14" s="554">
        <v>41152</v>
      </c>
      <c r="B14" s="555">
        <v>182875</v>
      </c>
      <c r="C14" s="556">
        <v>115015.10725473471</v>
      </c>
      <c r="D14" s="556">
        <v>22433.19573869986</v>
      </c>
    </row>
    <row r="15" spans="1:4" ht="25.5" customHeight="1">
      <c r="A15" s="554">
        <v>41182</v>
      </c>
      <c r="B15" s="555">
        <v>204015</v>
      </c>
      <c r="C15" s="556">
        <v>128724.18202595632</v>
      </c>
      <c r="D15" s="556">
        <v>26440.935283199862</v>
      </c>
    </row>
    <row r="16" spans="1:4" ht="22.5" customHeight="1">
      <c r="A16" s="554">
        <v>41213</v>
      </c>
      <c r="B16" s="555">
        <v>226945</v>
      </c>
      <c r="C16" s="556">
        <v>143150.88241874278</v>
      </c>
      <c r="D16" s="556">
        <v>30893.870522799843</v>
      </c>
    </row>
    <row r="17" spans="1:4" ht="25.5" customHeight="1">
      <c r="A17" s="554">
        <v>41243</v>
      </c>
      <c r="B17" s="555">
        <v>247464</v>
      </c>
      <c r="C17" s="556">
        <v>155980.42082236387</v>
      </c>
      <c r="D17" s="556">
        <v>35493.73042379985</v>
      </c>
    </row>
    <row r="18" spans="1:4" ht="24" customHeight="1">
      <c r="A18" s="554">
        <v>41274</v>
      </c>
      <c r="B18" s="555">
        <v>260524</v>
      </c>
      <c r="C18" s="556">
        <v>163394.79015536458</v>
      </c>
      <c r="D18" s="556">
        <v>39478.98255379985</v>
      </c>
    </row>
    <row r="19" ht="12.75">
      <c r="C19" s="145"/>
    </row>
    <row r="21" ht="12.75">
      <c r="C21" s="145"/>
    </row>
  </sheetData>
  <sheetProtection/>
  <mergeCells count="1">
    <mergeCell ref="A5:D5"/>
  </mergeCells>
  <printOptions/>
  <pageMargins left="0.75" right="0.33" top="1" bottom="1" header="0.4921259845" footer="0.4921259845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Socialna poistovna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ba-korsepova_m</dc:creator>
  <cp:keywords/>
  <dc:description/>
  <cp:lastModifiedBy>SP-Admin</cp:lastModifiedBy>
  <cp:lastPrinted>2013-03-19T08:46:31Z</cp:lastPrinted>
  <dcterms:created xsi:type="dcterms:W3CDTF">2007-11-13T07:23:54Z</dcterms:created>
  <dcterms:modified xsi:type="dcterms:W3CDTF">2013-07-25T06:29:03Z</dcterms:modified>
  <cp:category/>
  <cp:version/>
  <cp:contentType/>
  <cp:contentStatus/>
</cp:coreProperties>
</file>