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2" windowWidth="6492" windowHeight="3780" activeTab="0"/>
  </bookViews>
  <sheets>
    <sheet name="V ZFNP" sheetId="1" r:id="rId1"/>
    <sheet name="V ZFÚP" sheetId="2" r:id="rId2"/>
    <sheet name="V ZFGP" sheetId="3" r:id="rId3"/>
    <sheet name="V ZFPvN" sheetId="4" r:id="rId4"/>
    <sheet name="600" sheetId="5" r:id="rId5"/>
    <sheet name="pobočky" sheetId="6" r:id="rId6"/>
    <sheet name="Hárok2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col1" localSheetId="3">#REF!</definedName>
    <definedName name="_col1" localSheetId="1">#REF!</definedName>
    <definedName name="_col1">#REF!</definedName>
    <definedName name="_col2" localSheetId="3">#REF!</definedName>
    <definedName name="_col2" localSheetId="1">#REF!</definedName>
    <definedName name="_col2">#REF!</definedName>
    <definedName name="_col3" localSheetId="3">#REF!</definedName>
    <definedName name="_col3" localSheetId="1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a" localSheetId="3">#REF!</definedName>
    <definedName name="a" localSheetId="1">#REF!</definedName>
    <definedName name="a">#REF!</definedName>
    <definedName name="BudgetTab" localSheetId="0">#REF!</definedName>
    <definedName name="BudgetTab" localSheetId="1">#REF!</definedName>
    <definedName name="BudgetTab">#REF!</definedName>
    <definedName name="Celk_Zisk">'[1]Scénář'!$E$15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datumK" localSheetId="3">#REF!</definedName>
    <definedName name="datumK" localSheetId="1">#REF!</definedName>
    <definedName name="datumK">#REF!</definedName>
    <definedName name="ehdxjxrf" localSheetId="3">#REF!</definedName>
    <definedName name="ehdxjxrf" localSheetId="1">#REF!</definedName>
    <definedName name="ehdxjxrf">#REF!</definedName>
    <definedName name="Format">#REF!</definedName>
    <definedName name="HrubyZisk">#REF!</definedName>
    <definedName name="jún">'[2]Budoucí hodnota - zadání'!#REF!</definedName>
    <definedName name="_xlnm.Print_Titles" localSheetId="5">'pobočky'!$2:$16</definedName>
    <definedName name="NZbozi">'[3]Test1'!$B$89:$D$96</definedName>
    <definedName name="obraz" localSheetId="3">#REF!</definedName>
    <definedName name="obraz" localSheetId="1">#REF!</definedName>
    <definedName name="obraz">#REF!</definedName>
    <definedName name="Opravy" localSheetId="0">#REF!</definedName>
    <definedName name="Opravy" localSheetId="3">#REF!</definedName>
    <definedName name="Opravy" localSheetId="1">#REF!</definedName>
    <definedName name="Opravy">#REF!</definedName>
    <definedName name="Ostatni" localSheetId="3">#REF!</definedName>
    <definedName name="Ostatni" localSheetId="1">#REF!</definedName>
    <definedName name="Ostatni">#REF!</definedName>
    <definedName name="PocetNavstev">#REF!</definedName>
    <definedName name="PrijemNaZakaz">#REF!</definedName>
    <definedName name="produkt">'[2]Budoucí hodnota - zadání'!#REF!</definedName>
    <definedName name="produkt22">'[4]Budoucí hodnota - zadání'!#REF!</definedName>
    <definedName name="PRODUKT3">'[4]Budoucí hodnota - zadání'!#REF!</definedName>
    <definedName name="Reklama" localSheetId="0">#REF!</definedName>
    <definedName name="Reklama" localSheetId="3">#REF!</definedName>
    <definedName name="Reklama" localSheetId="1">#REF!</definedName>
    <definedName name="Reklama">#REF!</definedName>
    <definedName name="Revenue" localSheetId="3">#REF!</definedName>
    <definedName name="Revenue" localSheetId="1">#REF!</definedName>
    <definedName name="Revenue">#REF!</definedName>
    <definedName name="TableArea" localSheetId="3">#REF!</definedName>
    <definedName name="TableArea" localSheetId="1">#REF!</definedName>
    <definedName name="TableArea">#REF!</definedName>
    <definedName name="tabulky">#REF!</definedName>
    <definedName name="VydajeNaZakaz">#REF!</definedName>
    <definedName name="Vyplaty">#REF!</definedName>
    <definedName name="x">#REF!</definedName>
    <definedName name="Zarizeni">#REF!</definedName>
    <definedName name="Zásoby">#REF!</definedName>
    <definedName name="Zbozi">'[5]Test1'!$B$89:$D$96</definedName>
    <definedName name="ZboziN">'[6]Test1'!$B$89:$D$96</definedName>
    <definedName name="zugskrheiogwe" localSheetId="3">#REF!</definedName>
    <definedName name="zugskrheiogwe" localSheetId="1">#REF!</definedName>
    <definedName name="zugskrheiogwe">#REF!</definedName>
  </definedNames>
  <calcPr fullCalcOnLoad="1"/>
</workbook>
</file>

<file path=xl/sharedStrings.xml><?xml version="1.0" encoding="utf-8"?>
<sst xmlns="http://schemas.openxmlformats.org/spreadsheetml/2006/main" count="640" uniqueCount="313">
  <si>
    <t xml:space="preserve"> </t>
  </si>
  <si>
    <t>v tis. Eur</t>
  </si>
  <si>
    <t>Pobočka</t>
  </si>
  <si>
    <t>Dávka garančného poistenia</t>
  </si>
  <si>
    <t>Schválený rozpočet na rok 2012</t>
  </si>
  <si>
    <t>Rozdiel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</si>
  <si>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</si>
  <si>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</si>
  <si>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</si>
  <si>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</si>
  <si>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</si>
  <si>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</si>
  <si>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</si>
  <si>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</si>
  <si>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</si>
  <si>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</si>
  <si>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</si>
  <si>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</si>
  <si>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</si>
  <si>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</si>
  <si>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</si>
  <si>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</si>
  <si>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</si>
  <si>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</si>
  <si>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</si>
  <si>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</si>
  <si>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</si>
  <si>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</si>
  <si>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</si>
  <si>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</si>
  <si>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</si>
  <si>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</si>
  <si>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</si>
  <si>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 xml:space="preserve">Humenné 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</si>
  <si>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</si>
  <si>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</si>
  <si>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</si>
  <si>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</si>
  <si>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</si>
  <si>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</si>
  <si>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</si>
  <si>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</si>
  <si>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</si>
  <si>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</si>
  <si>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Úhrada príspevkov na SDS</t>
  </si>
  <si>
    <t>Celkom výdavky ZFGP</t>
  </si>
  <si>
    <t>Upravený rozpočet na rok 2012</t>
  </si>
  <si>
    <t>Humenné</t>
  </si>
  <si>
    <t>Zúčtovanie dávok § 112</t>
  </si>
  <si>
    <t>Refundácia dávky v nezamestnanosti EÚ</t>
  </si>
  <si>
    <t>Výdavky ZFPvN</t>
  </si>
  <si>
    <t>Ústredie renty</t>
  </si>
  <si>
    <t>Prevod do ZFSP</t>
  </si>
  <si>
    <t>.</t>
  </si>
  <si>
    <t>Celkom výdavky ZFÚP</t>
  </si>
  <si>
    <t>Celkom výdavky ZFNP</t>
  </si>
  <si>
    <t xml:space="preserve"> stĺ. 3-1</t>
  </si>
  <si>
    <t xml:space="preserve"> stĺ. 3-2</t>
  </si>
  <si>
    <t>% plnenia stĺ. 3/1</t>
  </si>
  <si>
    <t>Index stĺ. 3/2</t>
  </si>
  <si>
    <t>Skutočnosť rok</t>
  </si>
  <si>
    <t>Skutočnosť  rok</t>
  </si>
  <si>
    <t xml:space="preserve">Skutočnosť rok </t>
  </si>
  <si>
    <t>poisťovne  v roku 2012 a porovnanie s rokom  2011</t>
  </si>
  <si>
    <t xml:space="preserve">Plnenie rozpočtu výdavkov základného fondu garančného poistenia podľa jednotlivých pobočiek Sociálnej </t>
  </si>
  <si>
    <t>poisťovne v roku  2012  a porovnanie s rokom 2011</t>
  </si>
  <si>
    <t xml:space="preserve">Plnenie rozpočtu výdavkov základného fondu nemocenského poistenia  podľa jednotlivých  pobočiek  Sociálnej  </t>
  </si>
  <si>
    <t>poisťovne v roku 2012  a porovnanie s rokom  2011</t>
  </si>
  <si>
    <t xml:space="preserve">Plnenie rozpočtu výdavkov základného fondu úrazového poistenia  podľa jednotlivých  pobočiek  Sociálnej  </t>
  </si>
  <si>
    <t>poisťovne v roku 2012  a porovnanie s rokom 2011</t>
  </si>
  <si>
    <t xml:space="preserve">Plnenie rozpočtu výdavkov základného fondu poistenia  v nezamestnanosti  podľa jednotlivých  pobočiek  Sociálnej  </t>
  </si>
  <si>
    <t>Vyhodnotenie plnenia rozpisu rozpočtu bežných výdavkov (nákladov) správneho fondu Sociálnej poisťovne pobočky za rok 2012</t>
  </si>
  <si>
    <t>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</si>
  <si>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</si>
  <si>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</si>
  <si>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</si>
  <si>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</si>
  <si>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</si>
  <si>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</si>
  <si>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</si>
  <si>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</si>
  <si>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</si>
  <si>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</si>
  <si>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</si>
  <si>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</si>
  <si>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</si>
  <si>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za mesiac</t>
  </si>
  <si>
    <t>za rok 2012</t>
  </si>
  <si>
    <t>plnenia</t>
  </si>
  <si>
    <t>oddiel/skupina/</t>
  </si>
  <si>
    <t>kategória</t>
  </si>
  <si>
    <t>ložka</t>
  </si>
  <si>
    <t>na rok 2012</t>
  </si>
  <si>
    <t xml:space="preserve"> december 2012</t>
  </si>
  <si>
    <t>(3 : 1)</t>
  </si>
  <si>
    <t>trieda/podtrieda</t>
  </si>
  <si>
    <t>b</t>
  </si>
  <si>
    <t>c</t>
  </si>
  <si>
    <t>d</t>
  </si>
  <si>
    <t>e</t>
  </si>
  <si>
    <t>f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</si>
  <si>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</si>
  <si>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</si>
  <si>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</si>
  <si>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</si>
  <si>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</si>
  <si>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</si>
  <si>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</si>
  <si>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</si>
  <si>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</si>
  <si>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</si>
  <si>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</si>
  <si>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</si>
  <si>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</si>
  <si>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</si>
  <si>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</si>
  <si>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</si>
  <si>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</si>
  <si>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</si>
  <si>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</si>
  <si>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</si>
  <si>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</si>
  <si>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</si>
  <si>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</si>
  <si>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</si>
  <si>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</si>
  <si>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</si>
  <si>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</si>
  <si>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</si>
  <si>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</si>
  <si>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</si>
  <si>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</si>
  <si>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</si>
  <si>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</si>
  <si>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</si>
  <si>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</si>
  <si>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</si>
  <si>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</si>
  <si>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</si>
  <si>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</si>
  <si>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</si>
  <si>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</si>
  <si>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</si>
  <si>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</si>
  <si>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</si>
  <si>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</si>
  <si>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</si>
  <si>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</si>
  <si>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</si>
  <si>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</si>
  <si>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</si>
  <si>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</si>
  <si>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</si>
  <si>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</si>
  <si>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</si>
  <si>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</si>
  <si>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</si>
  <si>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</si>
  <si>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</si>
  <si>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</si>
  <si>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</si>
  <si>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</si>
  <si>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</si>
  <si>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</si>
  <si>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</si>
  <si>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</si>
  <si>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</si>
  <si>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</si>
  <si>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</si>
  <si>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</si>
  <si>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</si>
  <si>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</si>
  <si>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</si>
  <si>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</si>
  <si>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</si>
  <si>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</si>
  <si>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</si>
  <si>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</si>
  <si>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</si>
  <si>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</si>
  <si>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</si>
  <si>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</si>
  <si>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</si>
  <si>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</si>
  <si>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</si>
  <si>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</si>
  <si>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</si>
  <si>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</si>
  <si>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</si>
  <si>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</si>
  <si>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</si>
  <si>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</si>
  <si>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</si>
  <si>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</si>
  <si>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</si>
  <si>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</si>
  <si>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</si>
  <si>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</si>
  <si>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</si>
  <si>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</si>
  <si>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</si>
  <si>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</si>
  <si>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</si>
  <si>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</si>
  <si>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</si>
  <si>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</si>
  <si>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</si>
  <si>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</si>
  <si>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</si>
  <si>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</si>
  <si>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</si>
  <si>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</si>
  <si>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</si>
  <si>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</si>
  <si>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</si>
  <si>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637023</t>
  </si>
  <si>
    <t xml:space="preserve"> Kolkové známky</t>
  </si>
  <si>
    <t>637024</t>
  </si>
  <si>
    <t xml:space="preserve"> Vyrovnanie kurzových rozdielov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</si>
  <si>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</si>
  <si>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</si>
  <si>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</si>
  <si>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</si>
  <si>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</si>
  <si>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</si>
  <si>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</si>
  <si>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637033</t>
  </si>
  <si>
    <t xml:space="preserve"> Zálohy na projekty Európskej únie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</si>
  <si>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</si>
  <si>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</si>
  <si>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</si>
  <si>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</si>
  <si>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</si>
  <si>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</si>
  <si>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</si>
  <si>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</si>
  <si>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</si>
  <si>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</si>
  <si>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</si>
  <si>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</si>
  <si>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</si>
  <si>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</si>
  <si>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</si>
  <si>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</si>
  <si>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</si>
  <si>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</si>
  <si>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</si>
  <si>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</si>
  <si>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</si>
  <si>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</si>
  <si>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Správneho fondu podľa jednotlivých pobočiek</t>
  </si>
  <si>
    <t>Sociálnej poisťovne za rok  2012</t>
  </si>
  <si>
    <t>1. Spotrebované nákupy (50)                      8. Ostatné náklady (54 - 637)</t>
  </si>
  <si>
    <t>2. Služby (51)                                   9. Ostatné náklady (54 - 642)</t>
  </si>
  <si>
    <t>3. Mzdy (521)                                   10. Tovary a dalšie služby</t>
  </si>
  <si>
    <t>4. Poistné a prísp.do poisťovní (524 a 525)     11. Transfery</t>
  </si>
  <si>
    <t>5. Sociálne náklady (527 - 637)                 12. Bežné výdavky spolu (600)</t>
  </si>
  <si>
    <t>6. Sociálne náklady (527+528 - 642)             13. Kapitálové výdavky (700)</t>
  </si>
  <si>
    <t>7. Dane a poplatky (53)                         14. Správny fond spolu (600 + 700)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</si>
  <si>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</si>
  <si>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</si>
  <si>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</si>
  <si>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</si>
  <si>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</si>
  <si>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</si>
  <si>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</si>
  <si>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</si>
  <si>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</si>
  <si>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</si>
  <si>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</si>
  <si>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</si>
  <si>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</si>
  <si>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</si>
  <si>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 xml:space="preserve">   Bratislava</t>
  </si>
  <si>
    <t xml:space="preserve">   Rozpis rozpočtu 2012</t>
  </si>
  <si>
    <t xml:space="preserve">   Skutočnosť</t>
  </si>
  <si>
    <t xml:space="preserve">   % Plnenia z RR 2012</t>
  </si>
  <si>
    <t xml:space="preserve">   Trnava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</si>
  <si>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</si>
  <si>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</si>
  <si>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</si>
  <si>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</si>
  <si>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</si>
  <si>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</si>
  <si>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</si>
  <si>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</si>
  <si>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</si>
  <si>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</si>
  <si>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</si>
  <si>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</si>
  <si>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</si>
  <si>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</si>
  <si>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</si>
  <si>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</si>
  <si>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</si>
  <si>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</si>
  <si>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</si>
  <si>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</si>
  <si>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</si>
  <si>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</si>
  <si>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</si>
  <si>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</si>
  <si>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</si>
  <si>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</si>
  <si>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</si>
  <si>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</si>
  <si>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</si>
  <si>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</si>
  <si>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</si>
  <si>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</si>
  <si>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</si>
  <si>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</si>
  <si>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r>
      <t xml:space="preserve">   </t>
    </r>
    <r>
      <rPr>
        <b/>
        <sz val="10"/>
        <rFont val="Arial"/>
        <family val="2"/>
      </rPr>
      <t>SPOLU</t>
    </r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</si>
</sst>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_S_k_-;\-* #,##0\ _S_k_-;_-* &quot;-&quot;\ _S_k_-;_-@_-"/>
    <numFmt numFmtId="165" formatCode="_-* #,##0.00\ &quot;Sk&quot;_-;\-* #,##0.00\ &quot;Sk&quot;_-;_-* &quot;-&quot;??\ &quot;Sk&quot;_-;_-@_-"/>
    <numFmt numFmtId="166" formatCode="_-* #,##0.00\ _S_k_-;\-* #,##0.00\ _S_k_-;_-* &quot;-&quot;??\ _S_k_-;_-@_-"/>
    <numFmt numFmtId="167" formatCode="#,##0.00_ ;[Red]\-#,##0.00;\-"/>
    <numFmt numFmtId="168" formatCode="&quot;$&quot;#,##0;[Red]\-&quot;$&quot;#,##0"/>
    <numFmt numFmtId="169" formatCode="m\o\n\th\ d\,\ \y\y\y\y"/>
    <numFmt numFmtId="170" formatCode="_-* #,##0.00\ [$€-1]_-;\-* #,##0.00\ [$€-1]_-;_-* &quot;-&quot;??\ [$€-1]_-"/>
    <numFmt numFmtId="171" formatCode=";;"/>
    <numFmt numFmtId="172" formatCode="#,##0_ ;\-#,##0\ "/>
    <numFmt numFmtId="173" formatCode="#,##0.00;\-#,##0.00;&quot; &quot;"/>
    <numFmt numFmtId="174" formatCode="#,##0.00_ ;\-#,##0.0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i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 CE"/>
      <family val="2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4"/>
      <name val="Arial CE"/>
      <family val="2"/>
    </font>
    <font>
      <b/>
      <sz val="18"/>
      <name val="Arial CE"/>
      <family val="0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10"/>
      <name val="Arial CE"/>
      <family val="2"/>
    </font>
    <font>
      <sz val="10"/>
      <name val="Courier"/>
      <family val="1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21" fillId="3" borderId="0">
      <alignment/>
      <protection/>
    </xf>
    <xf numFmtId="0" fontId="22" fillId="3" borderId="0">
      <alignment/>
      <protection/>
    </xf>
    <xf numFmtId="0" fontId="23" fillId="2" borderId="0">
      <alignment/>
      <protection/>
    </xf>
    <xf numFmtId="0" fontId="22" fillId="3" borderId="0">
      <alignment/>
      <protection/>
    </xf>
    <xf numFmtId="0" fontId="22" fillId="3" borderId="0">
      <alignment/>
      <protection/>
    </xf>
    <xf numFmtId="0" fontId="24" fillId="4" borderId="0">
      <alignment/>
      <protection/>
    </xf>
    <xf numFmtId="0" fontId="25" fillId="4" borderId="0">
      <alignment/>
      <protection/>
    </xf>
    <xf numFmtId="0" fontId="26" fillId="2" borderId="0">
      <alignment/>
      <protection/>
    </xf>
    <xf numFmtId="0" fontId="25" fillId="4" borderId="0">
      <alignment/>
      <protection/>
    </xf>
    <xf numFmtId="0" fontId="25" fillId="4" borderId="0">
      <alignment/>
      <protection/>
    </xf>
    <xf numFmtId="0" fontId="27" fillId="5" borderId="0">
      <alignment/>
      <protection/>
    </xf>
    <xf numFmtId="0" fontId="28" fillId="5" borderId="0">
      <alignment/>
      <protection/>
    </xf>
    <xf numFmtId="0" fontId="29" fillId="2" borderId="0">
      <alignment/>
      <protection/>
    </xf>
    <xf numFmtId="0" fontId="28" fillId="5" borderId="0">
      <alignment/>
      <protection/>
    </xf>
    <xf numFmtId="0" fontId="28" fillId="5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2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2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20" fillId="6" borderId="0">
      <alignment/>
      <protection/>
    </xf>
    <xf numFmtId="0" fontId="18" fillId="6" borderId="0">
      <alignment/>
      <protection/>
    </xf>
    <xf numFmtId="167" fontId="20" fillId="6" borderId="1">
      <alignment/>
      <protection/>
    </xf>
    <xf numFmtId="0" fontId="18" fillId="6" borderId="0">
      <alignment/>
      <protection/>
    </xf>
    <xf numFmtId="0" fontId="18" fillId="6" borderId="0">
      <alignment/>
      <protection/>
    </xf>
    <xf numFmtId="0" fontId="26" fillId="7" borderId="0">
      <alignment/>
      <protection/>
    </xf>
    <xf numFmtId="0" fontId="18" fillId="7" borderId="0">
      <alignment/>
      <protection/>
    </xf>
    <xf numFmtId="0" fontId="26" fillId="6" borderId="0">
      <alignment/>
      <protection/>
    </xf>
    <xf numFmtId="0" fontId="18" fillId="7" borderId="0">
      <alignment/>
      <protection/>
    </xf>
    <xf numFmtId="0" fontId="18" fillId="7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21" fillId="3" borderId="0">
      <alignment/>
      <protection/>
    </xf>
    <xf numFmtId="0" fontId="22" fillId="3" borderId="0">
      <alignment/>
      <protection/>
    </xf>
    <xf numFmtId="0" fontId="23" fillId="2" borderId="0">
      <alignment/>
      <protection/>
    </xf>
    <xf numFmtId="0" fontId="22" fillId="3" borderId="0">
      <alignment/>
      <protection/>
    </xf>
    <xf numFmtId="0" fontId="22" fillId="3" borderId="0">
      <alignment/>
      <protection/>
    </xf>
    <xf numFmtId="0" fontId="24" fillId="4" borderId="0">
      <alignment/>
      <protection/>
    </xf>
    <xf numFmtId="0" fontId="25" fillId="4" borderId="0">
      <alignment/>
      <protection/>
    </xf>
    <xf numFmtId="0" fontId="26" fillId="2" borderId="0">
      <alignment/>
      <protection/>
    </xf>
    <xf numFmtId="0" fontId="25" fillId="4" borderId="0">
      <alignment/>
      <protection/>
    </xf>
    <xf numFmtId="0" fontId="25" fillId="4" borderId="0">
      <alignment/>
      <protection/>
    </xf>
    <xf numFmtId="0" fontId="27" fillId="5" borderId="0">
      <alignment/>
      <protection/>
    </xf>
    <xf numFmtId="0" fontId="28" fillId="5" borderId="0">
      <alignment/>
      <protection/>
    </xf>
    <xf numFmtId="0" fontId="20" fillId="2" borderId="0">
      <alignment/>
      <protection/>
    </xf>
    <xf numFmtId="0" fontId="28" fillId="5" borderId="0">
      <alignment/>
      <protection/>
    </xf>
    <xf numFmtId="0" fontId="28" fillId="5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2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2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3" fontId="36" fillId="0" borderId="0">
      <alignment/>
      <protection/>
    </xf>
    <xf numFmtId="3" fontId="35" fillId="0" borderId="0">
      <alignment/>
      <protection/>
    </xf>
    <xf numFmtId="3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37" fillId="0" borderId="0">
      <alignment/>
      <protection locked="0"/>
    </xf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170" fontId="20" fillId="0" borderId="0" applyFont="0" applyFill="0" applyBorder="0" applyAlignment="0" applyProtection="0"/>
    <xf numFmtId="171" fontId="37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57" fillId="27" borderId="2" applyNumberFormat="0" applyAlignment="0" applyProtection="0"/>
    <xf numFmtId="0" fontId="5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" fontId="39" fillId="0" borderId="0">
      <alignment/>
      <protection/>
    </xf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4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0" borderId="0">
      <alignment/>
      <protection/>
    </xf>
    <xf numFmtId="0" fontId="0" fillId="29" borderId="6" applyNumberFormat="0" applyFont="0" applyAlignment="0" applyProtection="0"/>
    <xf numFmtId="0" fontId="0" fillId="29" borderId="6" applyNumberFormat="0" applyFont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49" fontId="40" fillId="0" borderId="0">
      <alignment/>
      <protection/>
    </xf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9">
      <alignment/>
      <protection locked="0"/>
    </xf>
    <xf numFmtId="0" fontId="41" fillId="0" borderId="0">
      <alignment/>
      <protection/>
    </xf>
    <xf numFmtId="0" fontId="66" fillId="30" borderId="10" applyNumberFormat="0" applyAlignment="0" applyProtection="0"/>
    <xf numFmtId="0" fontId="66" fillId="30" borderId="10" applyNumberFormat="0" applyAlignment="0" applyProtection="0"/>
    <xf numFmtId="0" fontId="67" fillId="31" borderId="10" applyNumberFormat="0" applyAlignment="0" applyProtection="0"/>
    <xf numFmtId="0" fontId="67" fillId="31" borderId="10" applyNumberFormat="0" applyAlignment="0" applyProtection="0"/>
    <xf numFmtId="0" fontId="68" fillId="31" borderId="11" applyNumberFormat="0" applyAlignment="0" applyProtection="0"/>
    <xf numFmtId="0" fontId="68" fillId="31" borderId="11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4" fontId="42" fillId="0" borderId="0" xfId="177" applyFont="1">
      <alignment/>
      <protection/>
    </xf>
    <xf numFmtId="4" fontId="42" fillId="0" borderId="0" xfId="177" applyFont="1" applyFill="1">
      <alignment/>
      <protection/>
    </xf>
    <xf numFmtId="4" fontId="42" fillId="0" borderId="0" xfId="177" applyFont="1" applyAlignment="1">
      <alignment horizontal="right"/>
      <protection/>
    </xf>
    <xf numFmtId="0" fontId="42" fillId="0" borderId="0" xfId="172" applyFont="1">
      <alignment/>
      <protection/>
    </xf>
    <xf numFmtId="4" fontId="42" fillId="0" borderId="0" xfId="177" applyFont="1" applyAlignment="1">
      <alignment/>
      <protection/>
    </xf>
    <xf numFmtId="4" fontId="42" fillId="0" borderId="0" xfId="177" applyFont="1" applyFill="1" applyAlignment="1">
      <alignment/>
      <protection/>
    </xf>
    <xf numFmtId="4" fontId="42" fillId="0" borderId="0" xfId="177" applyFont="1" applyAlignment="1">
      <alignment horizontal="left"/>
      <protection/>
    </xf>
    <xf numFmtId="4" fontId="42" fillId="0" borderId="0" xfId="177" applyFont="1" applyFill="1" applyAlignment="1">
      <alignment horizontal="left"/>
      <protection/>
    </xf>
    <xf numFmtId="0" fontId="42" fillId="0" borderId="0" xfId="185" applyFont="1">
      <alignment/>
      <protection/>
    </xf>
    <xf numFmtId="4" fontId="43" fillId="0" borderId="0" xfId="177" applyFont="1" applyBorder="1" applyAlignment="1">
      <alignment horizontal="left"/>
      <protection/>
    </xf>
    <xf numFmtId="4" fontId="43" fillId="0" borderId="0" xfId="177" applyFont="1" applyBorder="1">
      <alignment/>
      <protection/>
    </xf>
    <xf numFmtId="4" fontId="42" fillId="0" borderId="0" xfId="177" applyFont="1" applyFill="1" applyAlignment="1">
      <alignment horizontal="center"/>
      <protection/>
    </xf>
    <xf numFmtId="4" fontId="42" fillId="0" borderId="0" xfId="177" applyFont="1" applyAlignment="1">
      <alignment horizontal="center"/>
      <protection/>
    </xf>
    <xf numFmtId="4" fontId="42" fillId="0" borderId="0" xfId="177" applyFont="1" applyBorder="1" applyAlignment="1">
      <alignment horizontal="right"/>
      <protection/>
    </xf>
    <xf numFmtId="1" fontId="42" fillId="0" borderId="12" xfId="177" applyNumberFormat="1" applyFont="1" applyBorder="1" applyAlignment="1" quotePrefix="1">
      <alignment horizontal="center" wrapText="1"/>
      <protection/>
    </xf>
    <xf numFmtId="4" fontId="42" fillId="0" borderId="13" xfId="177" applyFont="1" applyBorder="1" applyAlignment="1">
      <alignment horizontal="center"/>
      <protection/>
    </xf>
    <xf numFmtId="3" fontId="42" fillId="0" borderId="13" xfId="177" applyNumberFormat="1" applyFont="1" applyBorder="1" applyAlignment="1">
      <alignment horizontal="center"/>
      <protection/>
    </xf>
    <xf numFmtId="3" fontId="42" fillId="0" borderId="13" xfId="177" applyNumberFormat="1" applyFont="1" applyFill="1" applyBorder="1" applyAlignment="1">
      <alignment horizontal="center"/>
      <protection/>
    </xf>
    <xf numFmtId="0" fontId="42" fillId="0" borderId="13" xfId="183" applyFont="1" applyBorder="1" applyAlignment="1">
      <alignment horizontal="center"/>
      <protection/>
    </xf>
    <xf numFmtId="0" fontId="42" fillId="0" borderId="13" xfId="172" applyFont="1" applyBorder="1" applyAlignment="1">
      <alignment horizontal="center"/>
      <protection/>
    </xf>
    <xf numFmtId="4" fontId="42" fillId="0" borderId="14" xfId="177" applyFont="1" applyBorder="1" applyAlignment="1">
      <alignment horizontal="left"/>
      <protection/>
    </xf>
    <xf numFmtId="3" fontId="42" fillId="0" borderId="14" xfId="179" applyNumberFormat="1" applyFont="1" applyBorder="1">
      <alignment/>
      <protection/>
    </xf>
    <xf numFmtId="3" fontId="42" fillId="0" borderId="0" xfId="172" applyNumberFormat="1" applyFont="1">
      <alignment/>
      <protection/>
    </xf>
    <xf numFmtId="3" fontId="42" fillId="0" borderId="15" xfId="185" applyNumberFormat="1" applyFont="1" applyBorder="1">
      <alignment/>
      <protection/>
    </xf>
    <xf numFmtId="3" fontId="42" fillId="0" borderId="15" xfId="182" applyNumberFormat="1" applyFont="1" applyBorder="1">
      <alignment/>
      <protection/>
    </xf>
    <xf numFmtId="4" fontId="42" fillId="0" borderId="15" xfId="182" applyNumberFormat="1" applyFont="1" applyBorder="1">
      <alignment/>
      <protection/>
    </xf>
    <xf numFmtId="4" fontId="42" fillId="0" borderId="16" xfId="182" applyNumberFormat="1" applyFont="1" applyBorder="1">
      <alignment/>
      <protection/>
    </xf>
    <xf numFmtId="3" fontId="42" fillId="0" borderId="14" xfId="177" applyNumberFormat="1" applyFont="1" applyBorder="1" applyAlignment="1">
      <alignment horizontal="right"/>
      <protection/>
    </xf>
    <xf numFmtId="4" fontId="42" fillId="0" borderId="14" xfId="182" applyNumberFormat="1" applyFont="1" applyBorder="1">
      <alignment/>
      <protection/>
    </xf>
    <xf numFmtId="4" fontId="42" fillId="0" borderId="13" xfId="177" applyFont="1" applyBorder="1" applyAlignment="1">
      <alignment horizontal="left"/>
      <protection/>
    </xf>
    <xf numFmtId="3" fontId="42" fillId="0" borderId="13" xfId="179" applyNumberFormat="1" applyFont="1" applyBorder="1">
      <alignment/>
      <protection/>
    </xf>
    <xf numFmtId="3" fontId="42" fillId="0" borderId="13" xfId="185" applyNumberFormat="1" applyFont="1" applyBorder="1">
      <alignment/>
      <protection/>
    </xf>
    <xf numFmtId="3" fontId="42" fillId="0" borderId="13" xfId="182" applyNumberFormat="1" applyFont="1" applyBorder="1">
      <alignment/>
      <protection/>
    </xf>
    <xf numFmtId="4" fontId="42" fillId="0" borderId="13" xfId="182" applyNumberFormat="1" applyFont="1" applyBorder="1">
      <alignment/>
      <protection/>
    </xf>
    <xf numFmtId="4" fontId="42" fillId="0" borderId="12" xfId="177" applyFont="1" applyBorder="1" applyAlignment="1">
      <alignment horizontal="left" wrapText="1"/>
      <protection/>
    </xf>
    <xf numFmtId="3" fontId="42" fillId="0" borderId="12" xfId="179" applyNumberFormat="1" applyFont="1" applyBorder="1">
      <alignment/>
      <protection/>
    </xf>
    <xf numFmtId="4" fontId="42" fillId="0" borderId="12" xfId="177" applyFont="1" applyBorder="1" applyAlignment="1">
      <alignment wrapText="1"/>
      <protection/>
    </xf>
    <xf numFmtId="4" fontId="42" fillId="0" borderId="12" xfId="177" applyFont="1" applyBorder="1">
      <alignment/>
      <protection/>
    </xf>
    <xf numFmtId="3" fontId="42" fillId="0" borderId="12" xfId="177" applyNumberFormat="1" applyFont="1" applyBorder="1">
      <alignment/>
      <protection/>
    </xf>
    <xf numFmtId="0" fontId="42" fillId="0" borderId="0" xfId="183" applyFont="1">
      <alignment/>
      <protection/>
    </xf>
    <xf numFmtId="0" fontId="42" fillId="0" borderId="0" xfId="183" applyFont="1" applyFill="1">
      <alignment/>
      <protection/>
    </xf>
    <xf numFmtId="4" fontId="42" fillId="0" borderId="0" xfId="177" applyFont="1" applyAlignment="1">
      <alignment horizontal="left"/>
      <protection/>
    </xf>
    <xf numFmtId="0" fontId="42" fillId="0" borderId="12" xfId="177" applyNumberFormat="1" applyFont="1" applyBorder="1" applyAlignment="1" quotePrefix="1">
      <alignment horizontal="center" wrapText="1"/>
      <protection/>
    </xf>
    <xf numFmtId="4" fontId="43" fillId="0" borderId="13" xfId="182" applyNumberFormat="1" applyFont="1" applyBorder="1" applyAlignment="1">
      <alignment horizontal="center"/>
      <protection/>
    </xf>
    <xf numFmtId="3" fontId="42" fillId="0" borderId="13" xfId="172" applyNumberFormat="1" applyFont="1" applyBorder="1">
      <alignment/>
      <protection/>
    </xf>
    <xf numFmtId="0" fontId="43" fillId="0" borderId="0" xfId="185" applyFont="1">
      <alignment/>
      <protection/>
    </xf>
    <xf numFmtId="0" fontId="42" fillId="0" borderId="0" xfId="185" applyFont="1" applyAlignment="1">
      <alignment horizontal="right"/>
      <protection/>
    </xf>
    <xf numFmtId="0" fontId="42" fillId="0" borderId="13" xfId="185" applyFont="1" applyBorder="1" applyAlignment="1">
      <alignment horizontal="center" wrapText="1"/>
      <protection/>
    </xf>
    <xf numFmtId="0" fontId="42" fillId="0" borderId="17" xfId="185" applyFont="1" applyBorder="1" applyAlignment="1">
      <alignment horizontal="center"/>
      <protection/>
    </xf>
    <xf numFmtId="0" fontId="42" fillId="0" borderId="13" xfId="185" applyFont="1" applyBorder="1" applyAlignment="1">
      <alignment horizontal="center"/>
      <protection/>
    </xf>
    <xf numFmtId="0" fontId="42" fillId="0" borderId="14" xfId="185" applyFont="1" applyBorder="1">
      <alignment/>
      <protection/>
    </xf>
    <xf numFmtId="3" fontId="42" fillId="0" borderId="18" xfId="185" applyNumberFormat="1" applyFont="1" applyBorder="1">
      <alignment/>
      <protection/>
    </xf>
    <xf numFmtId="3" fontId="42" fillId="0" borderId="16" xfId="182" applyNumberFormat="1" applyFont="1" applyBorder="1">
      <alignment/>
      <protection/>
    </xf>
    <xf numFmtId="3" fontId="42" fillId="0" borderId="14" xfId="182" applyNumberFormat="1" applyFont="1" applyBorder="1">
      <alignment/>
      <protection/>
    </xf>
    <xf numFmtId="3" fontId="42" fillId="0" borderId="17" xfId="185" applyNumberFormat="1" applyFont="1" applyBorder="1">
      <alignment/>
      <protection/>
    </xf>
    <xf numFmtId="3" fontId="42" fillId="0" borderId="12" xfId="182" applyNumberFormat="1" applyFont="1" applyBorder="1">
      <alignment/>
      <protection/>
    </xf>
    <xf numFmtId="0" fontId="42" fillId="0" borderId="13" xfId="185" applyFont="1" applyBorder="1">
      <alignment/>
      <protection/>
    </xf>
    <xf numFmtId="3" fontId="42" fillId="0" borderId="19" xfId="185" applyNumberFormat="1" applyFont="1" applyBorder="1">
      <alignment/>
      <protection/>
    </xf>
    <xf numFmtId="0" fontId="42" fillId="0" borderId="0" xfId="163" applyFont="1">
      <alignment/>
      <protection/>
    </xf>
    <xf numFmtId="0" fontId="42" fillId="0" borderId="13" xfId="163" applyFont="1" applyBorder="1" applyAlignment="1">
      <alignment horizontal="center"/>
      <protection/>
    </xf>
    <xf numFmtId="3" fontId="42" fillId="0" borderId="0" xfId="163" applyNumberFormat="1" applyFont="1">
      <alignment/>
      <protection/>
    </xf>
    <xf numFmtId="0" fontId="18" fillId="0" borderId="0" xfId="180">
      <alignment/>
      <protection/>
    </xf>
    <xf numFmtId="0" fontId="44" fillId="0" borderId="0" xfId="180" applyFont="1" applyAlignment="1">
      <alignment horizontal="right"/>
      <protection/>
    </xf>
    <xf numFmtId="0" fontId="45" fillId="0" borderId="0" xfId="180" applyFont="1" applyAlignment="1">
      <alignment horizontal="centerContinuous"/>
      <protection/>
    </xf>
    <xf numFmtId="0" fontId="46" fillId="0" borderId="0" xfId="180" applyFont="1" applyAlignment="1">
      <alignment horizontal="centerContinuous"/>
      <protection/>
    </xf>
    <xf numFmtId="0" fontId="18" fillId="0" borderId="0" xfId="180" applyAlignment="1">
      <alignment horizontal="centerContinuous"/>
      <protection/>
    </xf>
    <xf numFmtId="0" fontId="47" fillId="0" borderId="0" xfId="180" applyFont="1" applyAlignment="1">
      <alignment horizontal="centerContinuous"/>
      <protection/>
    </xf>
    <xf numFmtId="0" fontId="44" fillId="0" borderId="0" xfId="180" applyFont="1">
      <alignment/>
      <protection/>
    </xf>
    <xf numFmtId="0" fontId="44" fillId="0" borderId="0" xfId="180" applyFont="1" applyAlignment="1">
      <alignment horizontal="right"/>
      <protection/>
    </xf>
    <xf numFmtId="0" fontId="48" fillId="0" borderId="0" xfId="180" applyFont="1" applyAlignment="1">
      <alignment horizontal="right"/>
      <protection/>
    </xf>
    <xf numFmtId="0" fontId="49" fillId="0" borderId="20" xfId="180" applyFont="1" applyBorder="1" applyAlignment="1">
      <alignment horizontal="center"/>
      <protection/>
    </xf>
    <xf numFmtId="0" fontId="49" fillId="0" borderId="21" xfId="180" applyFont="1" applyBorder="1" applyAlignment="1">
      <alignment horizontal="centerContinuous"/>
      <protection/>
    </xf>
    <xf numFmtId="0" fontId="49" fillId="0" borderId="22" xfId="180" applyFont="1" applyBorder="1" applyAlignment="1">
      <alignment horizontal="centerContinuous"/>
      <protection/>
    </xf>
    <xf numFmtId="0" fontId="49" fillId="0" borderId="23" xfId="180" applyFont="1" applyBorder="1" applyAlignment="1">
      <alignment horizontal="centerContinuous"/>
      <protection/>
    </xf>
    <xf numFmtId="0" fontId="49" fillId="0" borderId="24" xfId="180" applyFont="1" applyBorder="1" applyAlignment="1">
      <alignment horizontal="center"/>
      <protection/>
    </xf>
    <xf numFmtId="0" fontId="49" fillId="0" borderId="25" xfId="180" applyFont="1" applyBorder="1" applyAlignment="1">
      <alignment horizontal="center"/>
      <protection/>
    </xf>
    <xf numFmtId="0" fontId="49" fillId="0" borderId="26" xfId="180" applyFont="1" applyBorder="1" applyAlignment="1">
      <alignment horizontal="center"/>
      <protection/>
    </xf>
    <xf numFmtId="0" fontId="49" fillId="0" borderId="27" xfId="180" applyFont="1" applyBorder="1">
      <alignment/>
      <protection/>
    </xf>
    <xf numFmtId="0" fontId="49" fillId="0" borderId="16" xfId="180" applyFont="1" applyBorder="1" applyAlignment="1">
      <alignment horizontal="center"/>
      <protection/>
    </xf>
    <xf numFmtId="0" fontId="49" fillId="0" borderId="28" xfId="180" applyFont="1" applyBorder="1" applyAlignment="1">
      <alignment/>
      <protection/>
    </xf>
    <xf numFmtId="0" fontId="49" fillId="0" borderId="28" xfId="180" applyFont="1" applyBorder="1">
      <alignment/>
      <protection/>
    </xf>
    <xf numFmtId="0" fontId="49" fillId="0" borderId="28" xfId="180" applyFont="1" applyBorder="1" applyAlignment="1">
      <alignment horizontal="center"/>
      <protection/>
    </xf>
    <xf numFmtId="0" fontId="18" fillId="0" borderId="29" xfId="180" applyBorder="1" applyAlignment="1">
      <alignment horizontal="center"/>
      <protection/>
    </xf>
    <xf numFmtId="0" fontId="49" fillId="0" borderId="26" xfId="180" applyFont="1" applyBorder="1">
      <alignment/>
      <protection/>
    </xf>
    <xf numFmtId="0" fontId="49" fillId="0" borderId="28" xfId="180" applyFont="1" applyBorder="1" applyAlignment="1">
      <alignment horizontal="left"/>
      <protection/>
    </xf>
    <xf numFmtId="0" fontId="49" fillId="0" borderId="29" xfId="180" applyFont="1" applyBorder="1">
      <alignment/>
      <protection/>
    </xf>
    <xf numFmtId="0" fontId="49" fillId="0" borderId="28" xfId="180" applyFont="1" applyBorder="1" applyAlignment="1">
      <alignment horizontal="center"/>
      <protection/>
    </xf>
    <xf numFmtId="0" fontId="48" fillId="0" borderId="28" xfId="180" applyFont="1" applyBorder="1" applyAlignment="1">
      <alignment horizontal="center"/>
      <protection/>
    </xf>
    <xf numFmtId="0" fontId="49" fillId="0" borderId="30" xfId="180" applyFont="1" applyBorder="1">
      <alignment/>
      <protection/>
    </xf>
    <xf numFmtId="0" fontId="49" fillId="0" borderId="31" xfId="180" applyFont="1" applyBorder="1">
      <alignment/>
      <protection/>
    </xf>
    <xf numFmtId="0" fontId="49" fillId="0" borderId="32" xfId="180" applyFont="1" applyBorder="1" applyAlignment="1">
      <alignment horizontal="left"/>
      <protection/>
    </xf>
    <xf numFmtId="0" fontId="49" fillId="0" borderId="32" xfId="180" applyFont="1" applyBorder="1">
      <alignment/>
      <protection/>
    </xf>
    <xf numFmtId="0" fontId="48" fillId="0" borderId="32" xfId="180" applyFont="1" applyBorder="1" applyAlignment="1">
      <alignment horizontal="center"/>
      <protection/>
    </xf>
    <xf numFmtId="17" fontId="49" fillId="0" borderId="32" xfId="180" applyNumberFormat="1" applyFont="1" applyBorder="1" applyAlignment="1">
      <alignment horizontal="center"/>
      <protection/>
    </xf>
    <xf numFmtId="0" fontId="18" fillId="0" borderId="32" xfId="180" applyFont="1" applyBorder="1" applyAlignment="1">
      <alignment horizontal="center"/>
      <protection/>
    </xf>
    <xf numFmtId="0" fontId="18" fillId="0" borderId="33" xfId="180" applyBorder="1" applyAlignment="1">
      <alignment horizontal="center"/>
      <protection/>
    </xf>
    <xf numFmtId="0" fontId="48" fillId="0" borderId="34" xfId="180" applyFont="1" applyBorder="1" applyAlignment="1">
      <alignment horizontal="center"/>
      <protection/>
    </xf>
    <xf numFmtId="0" fontId="48" fillId="0" borderId="35" xfId="180" applyFont="1" applyBorder="1" applyAlignment="1">
      <alignment horizontal="center"/>
      <protection/>
    </xf>
    <xf numFmtId="0" fontId="48" fillId="0" borderId="36" xfId="180" applyFont="1" applyBorder="1" applyAlignment="1">
      <alignment horizontal="center"/>
      <protection/>
    </xf>
    <xf numFmtId="0" fontId="45" fillId="0" borderId="29" xfId="181" applyFont="1" applyBorder="1" applyAlignment="1">
      <alignment horizontal="center"/>
      <protection/>
    </xf>
    <xf numFmtId="49" fontId="45" fillId="0" borderId="26" xfId="181" applyNumberFormat="1" applyFont="1" applyBorder="1" applyAlignment="1">
      <alignment horizontal="center"/>
      <protection/>
    </xf>
    <xf numFmtId="49" fontId="45" fillId="0" borderId="27" xfId="181" applyNumberFormat="1" applyFont="1" applyBorder="1" applyAlignment="1">
      <alignment horizontal="center"/>
      <protection/>
    </xf>
    <xf numFmtId="49" fontId="45" fillId="0" borderId="27" xfId="181" applyNumberFormat="1" applyFont="1" applyBorder="1" applyAlignment="1">
      <alignment horizontal="center" vertical="top"/>
      <protection/>
    </xf>
    <xf numFmtId="0" fontId="47" fillId="0" borderId="28" xfId="181" applyFont="1" applyBorder="1" applyAlignment="1">
      <alignment horizontal="center"/>
      <protection/>
    </xf>
    <xf numFmtId="0" fontId="45" fillId="0" borderId="28" xfId="181" applyFont="1" applyBorder="1" applyAlignment="1">
      <alignment horizontal="left"/>
      <protection/>
    </xf>
    <xf numFmtId="164" fontId="45" fillId="0" borderId="28" xfId="181" applyNumberFormat="1" applyFont="1" applyBorder="1" applyAlignment="1">
      <alignment/>
      <protection/>
    </xf>
    <xf numFmtId="166" fontId="45" fillId="0" borderId="28" xfId="180" applyNumberFormat="1" applyFont="1" applyBorder="1" applyAlignment="1">
      <alignment/>
      <protection/>
    </xf>
    <xf numFmtId="3" fontId="48" fillId="0" borderId="0" xfId="180" applyNumberFormat="1" applyFont="1">
      <alignment/>
      <protection/>
    </xf>
    <xf numFmtId="0" fontId="39" fillId="0" borderId="29" xfId="181" applyFont="1" applyBorder="1" applyAlignment="1">
      <alignment horizontal="center"/>
      <protection/>
    </xf>
    <xf numFmtId="0" fontId="44" fillId="0" borderId="26" xfId="181" applyFont="1" applyBorder="1">
      <alignment/>
      <protection/>
    </xf>
    <xf numFmtId="49" fontId="39" fillId="0" borderId="27" xfId="181" applyNumberFormat="1" applyFont="1" applyBorder="1" applyAlignment="1">
      <alignment horizontal="center"/>
      <protection/>
    </xf>
    <xf numFmtId="49" fontId="39" fillId="0" borderId="28" xfId="181" applyNumberFormat="1" applyFont="1" applyBorder="1" applyAlignment="1">
      <alignment horizontal="left"/>
      <protection/>
    </xf>
    <xf numFmtId="0" fontId="39" fillId="0" borderId="28" xfId="181" applyFont="1" applyBorder="1" applyAlignment="1">
      <alignment/>
      <protection/>
    </xf>
    <xf numFmtId="164" fontId="39" fillId="0" borderId="28" xfId="180" applyNumberFormat="1" applyFont="1" applyBorder="1" applyAlignment="1">
      <alignment/>
      <protection/>
    </xf>
    <xf numFmtId="166" fontId="39" fillId="0" borderId="28" xfId="180" applyNumberFormat="1" applyFont="1" applyBorder="1" applyAlignment="1">
      <alignment/>
      <protection/>
    </xf>
    <xf numFmtId="0" fontId="50" fillId="0" borderId="29" xfId="181" applyFont="1" applyBorder="1" applyAlignment="1">
      <alignment horizontal="center"/>
      <protection/>
    </xf>
    <xf numFmtId="49" fontId="50" fillId="0" borderId="27" xfId="181" applyNumberFormat="1" applyFont="1" applyBorder="1" applyAlignment="1">
      <alignment horizontal="center"/>
      <protection/>
    </xf>
    <xf numFmtId="49" fontId="50" fillId="0" borderId="28" xfId="181" applyNumberFormat="1" applyFont="1" applyBorder="1" applyAlignment="1">
      <alignment horizontal="left"/>
      <protection/>
    </xf>
    <xf numFmtId="0" fontId="50" fillId="0" borderId="28" xfId="181" applyFont="1" applyBorder="1" applyAlignment="1">
      <alignment/>
      <protection/>
    </xf>
    <xf numFmtId="164" fontId="50" fillId="0" borderId="28" xfId="180" applyNumberFormat="1" applyFont="1" applyBorder="1" applyAlignment="1">
      <alignment/>
      <protection/>
    </xf>
    <xf numFmtId="166" fontId="50" fillId="0" borderId="28" xfId="180" applyNumberFormat="1" applyFont="1" applyBorder="1" applyAlignment="1">
      <alignment/>
      <protection/>
    </xf>
    <xf numFmtId="0" fontId="48" fillId="0" borderId="29" xfId="181" applyFont="1" applyBorder="1" applyAlignment="1">
      <alignment horizontal="center"/>
      <protection/>
    </xf>
    <xf numFmtId="0" fontId="48" fillId="0" borderId="26" xfId="180" applyFont="1" applyBorder="1">
      <alignment/>
      <protection/>
    </xf>
    <xf numFmtId="0" fontId="48" fillId="0" borderId="27" xfId="180" applyFont="1" applyBorder="1">
      <alignment/>
      <protection/>
    </xf>
    <xf numFmtId="0" fontId="48" fillId="0" borderId="27" xfId="180" applyFont="1" applyBorder="1" applyAlignment="1">
      <alignment horizontal="center"/>
      <protection/>
    </xf>
    <xf numFmtId="49" fontId="48" fillId="0" borderId="28" xfId="180" applyNumberFormat="1" applyFont="1" applyBorder="1" applyAlignment="1">
      <alignment horizontal="center"/>
      <protection/>
    </xf>
    <xf numFmtId="49" fontId="48" fillId="0" borderId="28" xfId="180" applyNumberFormat="1" applyFont="1" applyBorder="1" applyAlignment="1">
      <alignment/>
      <protection/>
    </xf>
    <xf numFmtId="164" fontId="48" fillId="0" borderId="28" xfId="180" applyNumberFormat="1" applyFont="1" applyBorder="1" applyAlignment="1">
      <alignment/>
      <protection/>
    </xf>
    <xf numFmtId="166" fontId="48" fillId="0" borderId="28" xfId="180" applyNumberFormat="1" applyFont="1" applyBorder="1" applyAlignment="1">
      <alignment/>
      <protection/>
    </xf>
    <xf numFmtId="0" fontId="48" fillId="0" borderId="26" xfId="181" applyFont="1" applyBorder="1">
      <alignment/>
      <protection/>
    </xf>
    <xf numFmtId="49" fontId="39" fillId="0" borderId="27" xfId="181" applyNumberFormat="1" applyFont="1" applyBorder="1" applyAlignment="1">
      <alignment horizontal="center"/>
      <protection/>
    </xf>
    <xf numFmtId="49" fontId="39" fillId="0" borderId="28" xfId="181" applyNumberFormat="1" applyFont="1" applyBorder="1" applyAlignment="1">
      <alignment horizontal="left"/>
      <protection/>
    </xf>
    <xf numFmtId="0" fontId="39" fillId="0" borderId="28" xfId="181" applyFont="1" applyBorder="1" applyAlignment="1">
      <alignment/>
      <protection/>
    </xf>
    <xf numFmtId="164" fontId="39" fillId="0" borderId="28" xfId="180" applyNumberFormat="1" applyFont="1" applyBorder="1" applyAlignment="1">
      <alignment/>
      <protection/>
    </xf>
    <xf numFmtId="164" fontId="39" fillId="0" borderId="28" xfId="180" applyNumberFormat="1" applyFont="1" applyFill="1" applyBorder="1" applyAlignment="1">
      <alignment/>
      <protection/>
    </xf>
    <xf numFmtId="49" fontId="50" fillId="0" borderId="27" xfId="180" applyNumberFormat="1" applyFont="1" applyBorder="1" applyAlignment="1">
      <alignment horizontal="center"/>
      <protection/>
    </xf>
    <xf numFmtId="49" fontId="50" fillId="0" borderId="28" xfId="180" applyNumberFormat="1" applyFont="1" applyBorder="1" applyAlignment="1">
      <alignment horizontal="left"/>
      <protection/>
    </xf>
    <xf numFmtId="49" fontId="50" fillId="0" borderId="28" xfId="180" applyNumberFormat="1" applyFont="1" applyBorder="1" applyAlignment="1">
      <alignment wrapText="1"/>
      <protection/>
    </xf>
    <xf numFmtId="0" fontId="48" fillId="0" borderId="28" xfId="180" applyFont="1" applyBorder="1" applyAlignment="1">
      <alignment/>
      <protection/>
    </xf>
    <xf numFmtId="0" fontId="48" fillId="0" borderId="28" xfId="180" applyFont="1" applyBorder="1" applyAlignment="1">
      <alignment horizontal="left"/>
      <protection/>
    </xf>
    <xf numFmtId="49" fontId="50" fillId="0" borderId="28" xfId="180" applyNumberFormat="1" applyFont="1" applyBorder="1" applyAlignment="1">
      <alignment horizontal="center"/>
      <protection/>
    </xf>
    <xf numFmtId="0" fontId="50" fillId="0" borderId="28" xfId="180" applyFont="1" applyBorder="1" applyAlignment="1">
      <alignment horizontal="justify"/>
      <protection/>
    </xf>
    <xf numFmtId="49" fontId="39" fillId="0" borderId="27" xfId="181" applyNumberFormat="1" applyFont="1" applyFill="1" applyBorder="1" applyAlignment="1" applyProtection="1">
      <alignment horizontal="center"/>
      <protection locked="0"/>
    </xf>
    <xf numFmtId="49" fontId="39" fillId="0" borderId="28" xfId="181" applyNumberFormat="1" applyFont="1" applyBorder="1" applyAlignment="1">
      <alignment horizontal="center"/>
      <protection/>
    </xf>
    <xf numFmtId="164" fontId="39" fillId="0" borderId="28" xfId="181" applyNumberFormat="1" applyFont="1" applyBorder="1" applyAlignment="1">
      <alignment/>
      <protection/>
    </xf>
    <xf numFmtId="0" fontId="48" fillId="0" borderId="26" xfId="181" applyFont="1" applyBorder="1">
      <alignment/>
      <protection/>
    </xf>
    <xf numFmtId="49" fontId="48" fillId="0" borderId="27" xfId="181" applyNumberFormat="1" applyFont="1" applyFill="1" applyBorder="1" applyAlignment="1" applyProtection="1">
      <alignment horizontal="center"/>
      <protection locked="0"/>
    </xf>
    <xf numFmtId="49" fontId="50" fillId="0" borderId="28" xfId="181" applyNumberFormat="1" applyFont="1" applyBorder="1" applyAlignment="1">
      <alignment horizontal="center"/>
      <protection/>
    </xf>
    <xf numFmtId="164" fontId="50" fillId="0" borderId="28" xfId="181" applyNumberFormat="1" applyFont="1" applyBorder="1" applyAlignment="1">
      <alignment/>
      <protection/>
    </xf>
    <xf numFmtId="49" fontId="48" fillId="0" borderId="0" xfId="181" applyNumberFormat="1" applyFont="1" applyFill="1" applyBorder="1" applyAlignment="1" applyProtection="1">
      <alignment horizontal="center"/>
      <protection locked="0"/>
    </xf>
    <xf numFmtId="1" fontId="18" fillId="0" borderId="14" xfId="180" applyNumberFormat="1" applyFont="1" applyFill="1" applyBorder="1" applyAlignment="1">
      <alignment horizontal="left" vertical="top" wrapText="1"/>
      <protection/>
    </xf>
    <xf numFmtId="1" fontId="48" fillId="0" borderId="14" xfId="180" applyNumberFormat="1" applyFont="1" applyFill="1" applyBorder="1" applyAlignment="1">
      <alignment horizontal="center"/>
      <protection/>
    </xf>
    <xf numFmtId="0" fontId="48" fillId="0" borderId="29" xfId="180" applyFont="1" applyBorder="1" applyAlignment="1">
      <alignment/>
      <protection/>
    </xf>
    <xf numFmtId="164" fontId="48" fillId="0" borderId="28" xfId="181" applyNumberFormat="1" applyFont="1" applyBorder="1" applyAlignment="1">
      <alignment/>
      <protection/>
    </xf>
    <xf numFmtId="49" fontId="51" fillId="0" borderId="0" xfId="181" applyNumberFormat="1" applyFont="1" applyBorder="1" applyAlignment="1">
      <alignment horizontal="center"/>
      <protection/>
    </xf>
    <xf numFmtId="1" fontId="48" fillId="0" borderId="37" xfId="180" applyNumberFormat="1" applyFont="1" applyFill="1" applyBorder="1" applyAlignment="1">
      <alignment horizontal="center"/>
      <protection/>
    </xf>
    <xf numFmtId="49" fontId="48" fillId="0" borderId="29" xfId="180" applyNumberFormat="1" applyFont="1" applyBorder="1" applyAlignment="1">
      <alignment/>
      <protection/>
    </xf>
    <xf numFmtId="0" fontId="48" fillId="0" borderId="29" xfId="180" applyNumberFormat="1" applyFont="1" applyFill="1" applyBorder="1" applyAlignment="1">
      <alignment horizontal="left"/>
      <protection/>
    </xf>
    <xf numFmtId="49" fontId="48" fillId="0" borderId="27" xfId="181" applyNumberFormat="1" applyFont="1" applyBorder="1" applyAlignment="1">
      <alignment horizontal="center"/>
      <protection/>
    </xf>
    <xf numFmtId="49" fontId="48" fillId="0" borderId="28" xfId="181" applyNumberFormat="1" applyFont="1" applyBorder="1" applyAlignment="1">
      <alignment horizontal="center"/>
      <protection/>
    </xf>
    <xf numFmtId="0" fontId="48" fillId="0" borderId="28" xfId="181" applyFont="1" applyBorder="1" applyAlignment="1">
      <alignment/>
      <protection/>
    </xf>
    <xf numFmtId="164" fontId="48" fillId="0" borderId="28" xfId="180" applyNumberFormat="1" applyFont="1" applyBorder="1" applyAlignment="1">
      <alignment/>
      <protection/>
    </xf>
    <xf numFmtId="49" fontId="48" fillId="0" borderId="28" xfId="180" applyNumberFormat="1" applyFont="1" applyBorder="1" applyAlignment="1">
      <alignment/>
      <protection/>
    </xf>
    <xf numFmtId="49" fontId="48" fillId="0" borderId="0" xfId="181" applyNumberFormat="1" applyFont="1" applyBorder="1" applyAlignment="1">
      <alignment horizontal="center"/>
      <protection/>
    </xf>
    <xf numFmtId="49" fontId="48" fillId="0" borderId="37" xfId="181" applyNumberFormat="1" applyFont="1" applyBorder="1" applyAlignment="1">
      <alignment horizontal="center"/>
      <protection/>
    </xf>
    <xf numFmtId="0" fontId="48" fillId="0" borderId="28" xfId="180" applyFont="1" applyBorder="1" applyAlignment="1">
      <alignment/>
      <protection/>
    </xf>
    <xf numFmtId="49" fontId="50" fillId="0" borderId="37" xfId="181" applyNumberFormat="1" applyFont="1" applyBorder="1" applyAlignment="1">
      <alignment horizontal="center"/>
      <protection/>
    </xf>
    <xf numFmtId="166" fontId="48" fillId="0" borderId="28" xfId="180" applyNumberFormat="1" applyFont="1" applyBorder="1" applyAlignment="1">
      <alignment/>
      <protection/>
    </xf>
    <xf numFmtId="49" fontId="50" fillId="0" borderId="0" xfId="181" applyNumberFormat="1" applyFont="1" applyBorder="1" applyAlignment="1">
      <alignment horizontal="center"/>
      <protection/>
    </xf>
    <xf numFmtId="0" fontId="48" fillId="0" borderId="28" xfId="180" applyFont="1" applyFill="1" applyBorder="1" applyAlignment="1">
      <alignment/>
      <protection/>
    </xf>
    <xf numFmtId="0" fontId="48" fillId="39" borderId="29" xfId="181" applyFont="1" applyFill="1" applyBorder="1" applyAlignment="1">
      <alignment horizontal="center"/>
      <protection/>
    </xf>
    <xf numFmtId="0" fontId="48" fillId="39" borderId="26" xfId="181" applyFont="1" applyFill="1" applyBorder="1">
      <alignment/>
      <protection/>
    </xf>
    <xf numFmtId="49" fontId="48" fillId="39" borderId="27" xfId="181" applyNumberFormat="1" applyFont="1" applyFill="1" applyBorder="1" applyAlignment="1" applyProtection="1">
      <alignment horizontal="center"/>
      <protection locked="0"/>
    </xf>
    <xf numFmtId="49" fontId="50" fillId="39" borderId="0" xfId="181" applyNumberFormat="1" applyFont="1" applyFill="1" applyBorder="1" applyAlignment="1">
      <alignment horizontal="center"/>
      <protection/>
    </xf>
    <xf numFmtId="1" fontId="48" fillId="39" borderId="37" xfId="180" applyNumberFormat="1" applyFont="1" applyFill="1" applyBorder="1" applyAlignment="1">
      <alignment horizontal="center"/>
      <protection/>
    </xf>
    <xf numFmtId="0" fontId="48" fillId="39" borderId="28" xfId="180" applyFont="1" applyFill="1" applyBorder="1" applyAlignment="1">
      <alignment/>
      <protection/>
    </xf>
    <xf numFmtId="164" fontId="48" fillId="39" borderId="28" xfId="181" applyNumberFormat="1" applyFont="1" applyFill="1" applyBorder="1" applyAlignment="1">
      <alignment/>
      <protection/>
    </xf>
    <xf numFmtId="166" fontId="48" fillId="39" borderId="28" xfId="180" applyNumberFormat="1" applyFont="1" applyFill="1" applyBorder="1" applyAlignment="1">
      <alignment/>
      <protection/>
    </xf>
    <xf numFmtId="0" fontId="18" fillId="39" borderId="0" xfId="180" applyFill="1">
      <alignment/>
      <protection/>
    </xf>
    <xf numFmtId="3" fontId="48" fillId="39" borderId="0" xfId="180" applyNumberFormat="1" applyFont="1" applyFill="1">
      <alignment/>
      <protection/>
    </xf>
    <xf numFmtId="0" fontId="48" fillId="0" borderId="29" xfId="181" applyFont="1" applyFill="1" applyBorder="1" applyAlignment="1">
      <alignment horizontal="center"/>
      <protection/>
    </xf>
    <xf numFmtId="0" fontId="48" fillId="0" borderId="26" xfId="181" applyFont="1" applyFill="1" applyBorder="1">
      <alignment/>
      <protection/>
    </xf>
    <xf numFmtId="49" fontId="48" fillId="0" borderId="27" xfId="181" applyNumberFormat="1" applyFont="1" applyFill="1" applyBorder="1" applyAlignment="1">
      <alignment horizontal="center"/>
      <protection/>
    </xf>
    <xf numFmtId="49" fontId="48" fillId="0" borderId="28" xfId="181" applyNumberFormat="1" applyFont="1" applyFill="1" applyBorder="1" applyAlignment="1">
      <alignment horizontal="center"/>
      <protection/>
    </xf>
    <xf numFmtId="0" fontId="48" fillId="0" borderId="28" xfId="181" applyFont="1" applyFill="1" applyBorder="1" applyAlignment="1">
      <alignment/>
      <protection/>
    </xf>
    <xf numFmtId="0" fontId="18" fillId="0" borderId="0" xfId="180" applyFill="1">
      <alignment/>
      <protection/>
    </xf>
    <xf numFmtId="3" fontId="48" fillId="0" borderId="0" xfId="180" applyNumberFormat="1" applyFont="1" applyFill="1">
      <alignment/>
      <protection/>
    </xf>
    <xf numFmtId="164" fontId="48" fillId="0" borderId="28" xfId="181" applyNumberFormat="1" applyFont="1" applyFill="1" applyBorder="1" applyAlignment="1">
      <alignment/>
      <protection/>
    </xf>
    <xf numFmtId="49" fontId="48" fillId="39" borderId="27" xfId="181" applyNumberFormat="1" applyFont="1" applyFill="1" applyBorder="1" applyAlignment="1">
      <alignment horizontal="center"/>
      <protection/>
    </xf>
    <xf numFmtId="49" fontId="48" fillId="39" borderId="28" xfId="181" applyNumberFormat="1" applyFont="1" applyFill="1" applyBorder="1" applyAlignment="1">
      <alignment horizontal="center"/>
      <protection/>
    </xf>
    <xf numFmtId="0" fontId="48" fillId="39" borderId="28" xfId="181" applyFont="1" applyFill="1" applyBorder="1" applyAlignment="1">
      <alignment/>
      <protection/>
    </xf>
    <xf numFmtId="164" fontId="39" fillId="0" borderId="28" xfId="181" applyNumberFormat="1" applyFont="1" applyBorder="1" applyAlignment="1">
      <alignment/>
      <protection/>
    </xf>
    <xf numFmtId="0" fontId="18" fillId="0" borderId="38" xfId="180" applyBorder="1">
      <alignment/>
      <protection/>
    </xf>
    <xf numFmtId="0" fontId="18" fillId="0" borderId="30" xfId="180" applyBorder="1" applyAlignment="1">
      <alignment wrapText="1"/>
      <protection/>
    </xf>
    <xf numFmtId="0" fontId="18" fillId="0" borderId="31" xfId="180" applyBorder="1" applyAlignment="1">
      <alignment wrapText="1"/>
      <protection/>
    </xf>
    <xf numFmtId="0" fontId="52" fillId="0" borderId="32" xfId="180" applyFont="1" applyBorder="1" applyAlignment="1">
      <alignment horizontal="left" wrapText="1"/>
      <protection/>
    </xf>
    <xf numFmtId="0" fontId="52" fillId="0" borderId="32" xfId="180" applyFont="1" applyBorder="1" applyAlignment="1">
      <alignment wrapText="1"/>
      <protection/>
    </xf>
    <xf numFmtId="164" fontId="18" fillId="0" borderId="32" xfId="180" applyNumberFormat="1" applyBorder="1" applyAlignment="1">
      <alignment/>
      <protection/>
    </xf>
    <xf numFmtId="166" fontId="50" fillId="0" borderId="38" xfId="180" applyNumberFormat="1" applyFont="1" applyBorder="1" applyAlignment="1">
      <alignment/>
      <protection/>
    </xf>
    <xf numFmtId="0" fontId="18" fillId="0" borderId="0" xfId="180" applyAlignment="1">
      <alignment wrapText="1"/>
      <protection/>
    </xf>
    <xf numFmtId="0" fontId="20" fillId="0" borderId="0" xfId="178" applyFill="1">
      <alignment/>
      <protection/>
    </xf>
    <xf numFmtId="0" fontId="43" fillId="0" borderId="0" xfId="162" applyFont="1" applyFill="1" applyBorder="1" applyAlignment="1">
      <alignment horizontal="centerContinuous"/>
      <protection/>
    </xf>
    <xf numFmtId="0" fontId="43" fillId="0" borderId="0" xfId="162" applyFont="1" applyFill="1" applyBorder="1" applyAlignment="1">
      <alignment horizontal="centerContinuous"/>
      <protection/>
    </xf>
    <xf numFmtId="0" fontId="20" fillId="0" borderId="0" xfId="162" applyFont="1" applyFill="1" applyBorder="1" applyAlignment="1">
      <alignment horizontal="centerContinuous"/>
      <protection/>
    </xf>
    <xf numFmtId="0" fontId="20" fillId="0" borderId="0" xfId="162" applyFill="1" applyBorder="1" applyAlignment="1">
      <alignment horizontal="centerContinuous"/>
      <protection/>
    </xf>
    <xf numFmtId="0" fontId="20" fillId="0" borderId="0" xfId="162">
      <alignment/>
      <protection/>
    </xf>
    <xf numFmtId="0" fontId="53" fillId="0" borderId="0" xfId="178" applyFont="1" applyFill="1" applyBorder="1">
      <alignment/>
      <protection/>
    </xf>
    <xf numFmtId="0" fontId="20" fillId="0" borderId="0" xfId="178" applyFill="1" applyBorder="1">
      <alignment/>
      <protection/>
    </xf>
    <xf numFmtId="0" fontId="20" fillId="0" borderId="0" xfId="178" applyFont="1" applyFill="1" applyBorder="1">
      <alignment/>
      <protection/>
    </xf>
    <xf numFmtId="172" fontId="20" fillId="0" borderId="0" xfId="178" applyNumberFormat="1" applyFont="1" applyFill="1" applyBorder="1">
      <alignment/>
      <protection/>
    </xf>
    <xf numFmtId="172" fontId="23" fillId="0" borderId="0" xfId="178" applyNumberFormat="1" applyFont="1" applyFill="1" applyBorder="1">
      <alignment/>
      <protection/>
    </xf>
    <xf numFmtId="173" fontId="20" fillId="0" borderId="0" xfId="178" applyNumberFormat="1" applyFont="1" applyFill="1" applyBorder="1">
      <alignment/>
      <protection/>
    </xf>
    <xf numFmtId="0" fontId="20" fillId="0" borderId="0" xfId="178" applyFont="1" applyFill="1" applyBorder="1">
      <alignment/>
      <protection/>
    </xf>
    <xf numFmtId="0" fontId="20" fillId="0" borderId="0" xfId="162" applyFill="1" applyBorder="1" applyAlignment="1">
      <alignment horizontal="right"/>
      <protection/>
    </xf>
    <xf numFmtId="49" fontId="54" fillId="0" borderId="33" xfId="178" applyNumberFormat="1" applyFont="1" applyFill="1" applyBorder="1" applyAlignment="1">
      <alignment horizontal="left"/>
      <protection/>
    </xf>
    <xf numFmtId="49" fontId="54" fillId="0" borderId="33" xfId="178" applyNumberFormat="1" applyFont="1" applyFill="1" applyBorder="1" applyAlignment="1">
      <alignment horizontal="center"/>
      <protection/>
    </xf>
    <xf numFmtId="49" fontId="54" fillId="0" borderId="33" xfId="178" applyNumberFormat="1" applyFont="1" applyFill="1" applyBorder="1" applyAlignment="1">
      <alignment horizontal="center"/>
      <protection/>
    </xf>
    <xf numFmtId="49" fontId="23" fillId="0" borderId="29" xfId="178" applyNumberFormat="1" applyFont="1" applyFill="1" applyBorder="1" applyAlignment="1">
      <alignment horizontal="left"/>
      <protection/>
    </xf>
    <xf numFmtId="173" fontId="20" fillId="0" borderId="29" xfId="178" applyNumberFormat="1" applyFont="1" applyFill="1" applyBorder="1">
      <alignment/>
      <protection/>
    </xf>
    <xf numFmtId="49" fontId="20" fillId="0" borderId="29" xfId="178" applyNumberFormat="1" applyFill="1" applyBorder="1" applyAlignment="1">
      <alignment horizontal="left"/>
      <protection/>
    </xf>
    <xf numFmtId="172" fontId="20" fillId="0" borderId="29" xfId="178" applyNumberFormat="1" applyFont="1" applyFill="1" applyBorder="1">
      <alignment/>
      <protection/>
    </xf>
    <xf numFmtId="49" fontId="20" fillId="0" borderId="29" xfId="178" applyNumberFormat="1" applyFont="1" applyFill="1" applyBorder="1" applyAlignment="1">
      <alignment horizontal="left"/>
      <protection/>
    </xf>
    <xf numFmtId="172" fontId="23" fillId="0" borderId="29" xfId="178" applyNumberFormat="1" applyFont="1" applyFill="1" applyBorder="1">
      <alignment/>
      <protection/>
    </xf>
    <xf numFmtId="49" fontId="20" fillId="0" borderId="25" xfId="178" applyNumberFormat="1" applyFont="1" applyFill="1" applyBorder="1" applyAlignment="1">
      <alignment horizontal="left"/>
      <protection/>
    </xf>
    <xf numFmtId="173" fontId="20" fillId="0" borderId="39" xfId="178" applyNumberFormat="1" applyFont="1" applyFill="1" applyBorder="1">
      <alignment/>
      <protection/>
    </xf>
    <xf numFmtId="173" fontId="20" fillId="0" borderId="25" xfId="178" applyNumberFormat="1" applyFont="1" applyFill="1" applyBorder="1">
      <alignment/>
      <protection/>
    </xf>
    <xf numFmtId="49" fontId="20" fillId="0" borderId="38" xfId="178" applyNumberFormat="1" applyFont="1" applyFill="1" applyBorder="1" applyAlignment="1">
      <alignment horizontal="left"/>
      <protection/>
    </xf>
    <xf numFmtId="173" fontId="20" fillId="0" borderId="38" xfId="178" applyNumberFormat="1" applyFont="1" applyFill="1" applyBorder="1">
      <alignment/>
      <protection/>
    </xf>
    <xf numFmtId="49" fontId="20" fillId="0" borderId="29" xfId="178" applyNumberFormat="1" applyFont="1" applyFill="1" applyBorder="1" applyAlignment="1">
      <alignment horizontal="left"/>
      <protection/>
    </xf>
    <xf numFmtId="174" fontId="20" fillId="0" borderId="38" xfId="178" applyNumberFormat="1" applyFont="1" applyFill="1" applyBorder="1">
      <alignment/>
      <protection/>
    </xf>
    <xf numFmtId="0" fontId="20" fillId="0" borderId="0" xfId="162" applyFont="1" applyFill="1">
      <alignment/>
      <protection/>
    </xf>
    <xf numFmtId="0" fontId="42" fillId="0" borderId="13" xfId="184" applyFont="1" applyBorder="1" applyAlignment="1">
      <alignment horizontal="center" wrapText="1"/>
      <protection/>
    </xf>
    <xf numFmtId="0" fontId="42" fillId="0" borderId="16" xfId="184" applyFont="1" applyBorder="1" applyAlignment="1">
      <alignment horizontal="center" wrapText="1"/>
      <protection/>
    </xf>
    <xf numFmtId="0" fontId="42" fillId="0" borderId="12" xfId="184" applyFont="1" applyBorder="1" applyAlignment="1">
      <alignment horizontal="center" wrapText="1"/>
      <protection/>
    </xf>
    <xf numFmtId="4" fontId="42" fillId="0" borderId="0" xfId="177" applyFont="1" applyAlignment="1">
      <alignment horizontal="left"/>
      <protection/>
    </xf>
    <xf numFmtId="4" fontId="42" fillId="0" borderId="16" xfId="177" applyFont="1" applyBorder="1" applyAlignment="1">
      <alignment horizontal="center"/>
      <protection/>
    </xf>
    <xf numFmtId="4" fontId="42" fillId="0" borderId="14" xfId="177" applyFont="1" applyBorder="1" applyAlignment="1">
      <alignment horizontal="center"/>
      <protection/>
    </xf>
    <xf numFmtId="4" fontId="42" fillId="0" borderId="12" xfId="177" applyFont="1" applyBorder="1" applyAlignment="1">
      <alignment horizontal="center"/>
      <protection/>
    </xf>
    <xf numFmtId="4" fontId="42" fillId="0" borderId="16" xfId="177" applyFont="1" applyBorder="1" applyAlignment="1">
      <alignment horizontal="center" wrapText="1"/>
      <protection/>
    </xf>
    <xf numFmtId="4" fontId="42" fillId="0" borderId="14" xfId="177" applyFont="1" applyBorder="1" applyAlignment="1">
      <alignment horizontal="center" wrapText="1"/>
      <protection/>
    </xf>
    <xf numFmtId="4" fontId="42" fillId="0" borderId="12" xfId="177" applyFont="1" applyBorder="1" applyAlignment="1">
      <alignment horizontal="center" wrapText="1"/>
      <protection/>
    </xf>
    <xf numFmtId="4" fontId="42" fillId="0" borderId="18" xfId="177" applyFont="1" applyBorder="1" applyAlignment="1">
      <alignment horizontal="center" wrapText="1"/>
      <protection/>
    </xf>
    <xf numFmtId="4" fontId="42" fillId="0" borderId="40" xfId="177" applyFont="1" applyBorder="1" applyAlignment="1">
      <alignment horizontal="center" wrapText="1"/>
      <protection/>
    </xf>
    <xf numFmtId="4" fontId="42" fillId="0" borderId="17" xfId="177" applyFont="1" applyBorder="1" applyAlignment="1">
      <alignment horizontal="center" wrapText="1"/>
      <protection/>
    </xf>
    <xf numFmtId="4" fontId="42" fillId="0" borderId="41" xfId="177" applyFont="1" applyBorder="1" applyAlignment="1">
      <alignment horizontal="center" wrapText="1"/>
      <protection/>
    </xf>
    <xf numFmtId="0" fontId="42" fillId="0" borderId="19" xfId="184" applyFont="1" applyBorder="1" applyAlignment="1">
      <alignment horizontal="center"/>
      <protection/>
    </xf>
    <xf numFmtId="0" fontId="42" fillId="0" borderId="42" xfId="184" applyFont="1" applyBorder="1" applyAlignment="1">
      <alignment horizontal="center"/>
      <protection/>
    </xf>
    <xf numFmtId="0" fontId="42" fillId="0" borderId="14" xfId="184" applyFont="1" applyBorder="1" applyAlignment="1">
      <alignment horizontal="center" wrapText="1"/>
      <protection/>
    </xf>
    <xf numFmtId="0" fontId="42" fillId="0" borderId="19" xfId="185" applyFont="1" applyBorder="1" applyAlignment="1">
      <alignment horizontal="center"/>
      <protection/>
    </xf>
    <xf numFmtId="0" fontId="42" fillId="0" borderId="13" xfId="185" applyFont="1" applyBorder="1" applyAlignment="1">
      <alignment horizontal="center"/>
      <protection/>
    </xf>
    <xf numFmtId="0" fontId="42" fillId="0" borderId="14" xfId="185" applyFont="1" applyBorder="1" applyAlignment="1">
      <alignment horizontal="center" wrapText="1"/>
      <protection/>
    </xf>
    <xf numFmtId="0" fontId="42" fillId="0" borderId="12" xfId="185" applyFont="1" applyBorder="1" applyAlignment="1">
      <alignment horizontal="center" wrapText="1"/>
      <protection/>
    </xf>
    <xf numFmtId="0" fontId="42" fillId="0" borderId="18" xfId="185" applyFont="1" applyBorder="1" applyAlignment="1">
      <alignment horizontal="center" wrapText="1"/>
      <protection/>
    </xf>
    <xf numFmtId="0" fontId="42" fillId="0" borderId="40" xfId="185" applyFont="1" applyBorder="1" applyAlignment="1">
      <alignment horizontal="center" wrapText="1"/>
      <protection/>
    </xf>
    <xf numFmtId="0" fontId="42" fillId="0" borderId="17" xfId="185" applyFont="1" applyBorder="1" applyAlignment="1">
      <alignment horizontal="center" wrapText="1"/>
      <protection/>
    </xf>
    <xf numFmtId="0" fontId="42" fillId="0" borderId="41" xfId="185" applyFont="1" applyBorder="1" applyAlignment="1">
      <alignment horizontal="center" wrapText="1"/>
      <protection/>
    </xf>
    <xf numFmtId="0" fontId="42" fillId="0" borderId="19" xfId="185" applyFont="1" applyBorder="1" applyAlignment="1">
      <alignment horizontal="center" wrapText="1"/>
      <protection/>
    </xf>
    <xf numFmtId="0" fontId="42" fillId="0" borderId="43" xfId="185" applyFont="1" applyBorder="1" applyAlignment="1">
      <alignment horizontal="center" wrapText="1"/>
      <protection/>
    </xf>
    <xf numFmtId="0" fontId="42" fillId="0" borderId="42" xfId="185" applyFont="1" applyBorder="1" applyAlignment="1">
      <alignment horizontal="center" wrapText="1"/>
      <protection/>
    </xf>
  </cellXfs>
  <cellStyles count="212">
    <cellStyle name="Normal" xfId="0"/>
    <cellStyle name="_Column1" xfId="15"/>
    <cellStyle name="_Column1_data" xfId="16"/>
    <cellStyle name="_Column1_QV1" xfId="17"/>
    <cellStyle name="_Column1_Sheet1" xfId="18"/>
    <cellStyle name="_Column1_Tabelle" xfId="19"/>
    <cellStyle name="_Column2" xfId="20"/>
    <cellStyle name="_Column2_data" xfId="21"/>
    <cellStyle name="_Column2_QV1" xfId="22"/>
    <cellStyle name="_Column2_Sheet1" xfId="23"/>
    <cellStyle name="_Column2_Tabelle" xfId="24"/>
    <cellStyle name="_Column3" xfId="25"/>
    <cellStyle name="_Column3_data" xfId="26"/>
    <cellStyle name="_Column3_QV1" xfId="27"/>
    <cellStyle name="_Column3_Sheet1" xfId="28"/>
    <cellStyle name="_Column3_Tabelle" xfId="29"/>
    <cellStyle name="_Column4" xfId="30"/>
    <cellStyle name="_Column4_data" xfId="31"/>
    <cellStyle name="_Column4_QV1" xfId="32"/>
    <cellStyle name="_Column4_Sheet1" xfId="33"/>
    <cellStyle name="_Column4_Tabelle" xfId="34"/>
    <cellStyle name="_Column5" xfId="35"/>
    <cellStyle name="_Column5_data" xfId="36"/>
    <cellStyle name="_Column5_QV1" xfId="37"/>
    <cellStyle name="_Column5_Sheet1" xfId="38"/>
    <cellStyle name="_Column5_Tabelle" xfId="39"/>
    <cellStyle name="_Column6" xfId="40"/>
    <cellStyle name="_Column6_data" xfId="41"/>
    <cellStyle name="_Column6_QV1" xfId="42"/>
    <cellStyle name="_Column6_Sheet1" xfId="43"/>
    <cellStyle name="_Column6_Tabelle" xfId="44"/>
    <cellStyle name="_Column7" xfId="45"/>
    <cellStyle name="_Column7_data" xfId="46"/>
    <cellStyle name="_Column7_QV1" xfId="47"/>
    <cellStyle name="_Column7_Sheet1" xfId="48"/>
    <cellStyle name="_Column7_Tabelle" xfId="49"/>
    <cellStyle name="_Data" xfId="50"/>
    <cellStyle name="_Data_data" xfId="51"/>
    <cellStyle name="_Data_QV1" xfId="52"/>
    <cellStyle name="_Data_Sheet1" xfId="53"/>
    <cellStyle name="_Data_Tabelle" xfId="54"/>
    <cellStyle name="_Header" xfId="55"/>
    <cellStyle name="_Header_data" xfId="56"/>
    <cellStyle name="_Header_QV1" xfId="57"/>
    <cellStyle name="_Header_Sheet1" xfId="58"/>
    <cellStyle name="_Header_Tabelle" xfId="59"/>
    <cellStyle name="_Row1" xfId="60"/>
    <cellStyle name="_Row1_data" xfId="61"/>
    <cellStyle name="_Row1_QV1" xfId="62"/>
    <cellStyle name="_Row1_Sheet1" xfId="63"/>
    <cellStyle name="_Row1_Tabelle" xfId="64"/>
    <cellStyle name="_Row2" xfId="65"/>
    <cellStyle name="_Row2_data" xfId="66"/>
    <cellStyle name="_Row2_QV1" xfId="67"/>
    <cellStyle name="_Row2_Sheet1" xfId="68"/>
    <cellStyle name="_Row2_Tabelle" xfId="69"/>
    <cellStyle name="_Row3" xfId="70"/>
    <cellStyle name="_Row3_data" xfId="71"/>
    <cellStyle name="_Row3_QV1" xfId="72"/>
    <cellStyle name="_Row3_Sheet1" xfId="73"/>
    <cellStyle name="_Row3_Tabelle" xfId="74"/>
    <cellStyle name="_Row4" xfId="75"/>
    <cellStyle name="_Row4_data" xfId="76"/>
    <cellStyle name="_Row4_QV1" xfId="77"/>
    <cellStyle name="_Row4_Sheet1" xfId="78"/>
    <cellStyle name="_Row4_Tabelle" xfId="79"/>
    <cellStyle name="_Row5" xfId="80"/>
    <cellStyle name="_Row5_data" xfId="81"/>
    <cellStyle name="_Row5_QV1" xfId="82"/>
    <cellStyle name="_Row5_Sheet1" xfId="83"/>
    <cellStyle name="_Row5_Tabelle" xfId="84"/>
    <cellStyle name="_Row6" xfId="85"/>
    <cellStyle name="_Row6_data" xfId="86"/>
    <cellStyle name="_Row6_QV1" xfId="87"/>
    <cellStyle name="_Row6_Sheet1" xfId="88"/>
    <cellStyle name="_Row6_Tabelle" xfId="89"/>
    <cellStyle name="_Row7" xfId="90"/>
    <cellStyle name="_Row7_data" xfId="91"/>
    <cellStyle name="_Row7_QV1" xfId="92"/>
    <cellStyle name="_Row7_Sheet1" xfId="93"/>
    <cellStyle name="_Row7_Tabelle" xfId="94"/>
    <cellStyle name="20 % - zvýraznenie1" xfId="95"/>
    <cellStyle name="20 % - zvýraznenie1 2" xfId="96"/>
    <cellStyle name="20 % - zvýraznenie2" xfId="97"/>
    <cellStyle name="20 % - zvýraznenie2 2" xfId="98"/>
    <cellStyle name="20 % - zvýraznenie3" xfId="99"/>
    <cellStyle name="20 % - zvýraznenie3 2" xfId="100"/>
    <cellStyle name="20 % - zvýraznenie4" xfId="101"/>
    <cellStyle name="20 % - zvýraznenie4 2" xfId="102"/>
    <cellStyle name="20 % - zvýraznenie5" xfId="103"/>
    <cellStyle name="20 % - zvýraznenie5 2" xfId="104"/>
    <cellStyle name="20 % - zvýraznenie6" xfId="105"/>
    <cellStyle name="20 % - zvýraznenie6 2" xfId="106"/>
    <cellStyle name="40 % - zvýraznenie1" xfId="107"/>
    <cellStyle name="40 % - zvýraznenie1 2" xfId="108"/>
    <cellStyle name="40 % - zvýraznenie2" xfId="109"/>
    <cellStyle name="40 % - zvýraznenie2 2" xfId="110"/>
    <cellStyle name="40 % - zvýraznenie3" xfId="111"/>
    <cellStyle name="40 % - zvýraznenie3 2" xfId="112"/>
    <cellStyle name="40 % - zvýraznenie4" xfId="113"/>
    <cellStyle name="40 % - zvýraznenie4 2" xfId="114"/>
    <cellStyle name="40 % - zvýraznenie5" xfId="115"/>
    <cellStyle name="40 % - zvýraznenie5 2" xfId="116"/>
    <cellStyle name="40 % - zvýraznenie6" xfId="117"/>
    <cellStyle name="40 % - zvýraznenie6 2" xfId="118"/>
    <cellStyle name="60 % - zvýraznenie1" xfId="119"/>
    <cellStyle name="60 % - zvýraznenie1 2" xfId="120"/>
    <cellStyle name="60 % - zvýraznenie2" xfId="121"/>
    <cellStyle name="60 % - zvýraznenie2 2" xfId="122"/>
    <cellStyle name="60 % - zvýraznenie3" xfId="123"/>
    <cellStyle name="60 % - zvýraznenie3 2" xfId="124"/>
    <cellStyle name="60 % - zvýraznenie4" xfId="125"/>
    <cellStyle name="60 % - zvýraznenie4 2" xfId="126"/>
    <cellStyle name="60 % - zvýraznenie5" xfId="127"/>
    <cellStyle name="60 % - zvýraznenie5 2" xfId="128"/>
    <cellStyle name="60 % - zvýraznenie6" xfId="129"/>
    <cellStyle name="60 % - zvýraznenie6 2" xfId="130"/>
    <cellStyle name="Akcia" xfId="131"/>
    <cellStyle name="Cena_Sk" xfId="132"/>
    <cellStyle name="Comma [0]" xfId="133"/>
    <cellStyle name="Currency [0]" xfId="134"/>
    <cellStyle name="Comma" xfId="135"/>
    <cellStyle name="Comma [0]" xfId="136"/>
    <cellStyle name="Čiarka 2" xfId="137"/>
    <cellStyle name="Date" xfId="138"/>
    <cellStyle name="Dobrá" xfId="139"/>
    <cellStyle name="Dobrá 2" xfId="140"/>
    <cellStyle name="Euro" xfId="141"/>
    <cellStyle name="Fixed" xfId="142"/>
    <cellStyle name="Heading1" xfId="143"/>
    <cellStyle name="Heading2" xfId="144"/>
    <cellStyle name="Kontrolná bunka" xfId="145"/>
    <cellStyle name="Kontrolná bunka 2" xfId="146"/>
    <cellStyle name="Currency" xfId="147"/>
    <cellStyle name="Currency [0]" xfId="148"/>
    <cellStyle name="Mena 2" xfId="149"/>
    <cellStyle name="Nadpis 1" xfId="150"/>
    <cellStyle name="Nadpis 1 2" xfId="151"/>
    <cellStyle name="Nadpis 2" xfId="152"/>
    <cellStyle name="Nadpis 2 2" xfId="153"/>
    <cellStyle name="Nadpis 3" xfId="154"/>
    <cellStyle name="Nadpis 3 2" xfId="155"/>
    <cellStyle name="Nadpis 4" xfId="156"/>
    <cellStyle name="Nadpis 4 2" xfId="157"/>
    <cellStyle name="Nazov" xfId="158"/>
    <cellStyle name="Neutrálna" xfId="159"/>
    <cellStyle name="Neutrálna 2" xfId="160"/>
    <cellStyle name="Normal_Book1" xfId="161"/>
    <cellStyle name="Normálna 10" xfId="162"/>
    <cellStyle name="Normálna 2" xfId="163"/>
    <cellStyle name="Normálna 2 2" xfId="164"/>
    <cellStyle name="Normálna 2 2 2" xfId="165"/>
    <cellStyle name="Normálna 2 3" xfId="166"/>
    <cellStyle name="Normálna 3" xfId="167"/>
    <cellStyle name="Normálna 4" xfId="168"/>
    <cellStyle name="Normálna 5" xfId="169"/>
    <cellStyle name="Normálna 6" xfId="170"/>
    <cellStyle name="Normálna 7" xfId="171"/>
    <cellStyle name="Normálna 8" xfId="172"/>
    <cellStyle name="Normálna 9" xfId="173"/>
    <cellStyle name="normálne 2 5" xfId="174"/>
    <cellStyle name="normálne 35" xfId="175"/>
    <cellStyle name="normálne_15.3.platba štátu_platba štátu prepočet 20 5 11" xfId="176"/>
    <cellStyle name="normálne_Garančné poistenie a poistenie v nezamestnanosti- výdavky r.2004-definitívna" xfId="177"/>
    <cellStyle name="normálne_Hárok1" xfId="178"/>
    <cellStyle name="normálne_mesačný a kvartálny rozpis rozpočtu na rok 2005" xfId="179"/>
    <cellStyle name="normálne_plnenie 2012" xfId="180"/>
    <cellStyle name="normálne_plnenie investície 2006" xfId="181"/>
    <cellStyle name="normálne_Prehľad o výdavkoch ZFGP I Q 2006" xfId="182"/>
    <cellStyle name="normálne_Prílohy do rozboru  - dávka v nezamestnanosti" xfId="183"/>
    <cellStyle name="normálne_Výdavky ZFNP 2007 - do správy" xfId="184"/>
    <cellStyle name="normálne_Zošit2" xfId="185"/>
    <cellStyle name="normální 2" xfId="186"/>
    <cellStyle name="normální_15.6.07 východ.+rozpočet 08-10" xfId="187"/>
    <cellStyle name="Percent" xfId="188"/>
    <cellStyle name="Percentá 2" xfId="189"/>
    <cellStyle name="Popis" xfId="190"/>
    <cellStyle name="Poznámka" xfId="191"/>
    <cellStyle name="Poznámka 2" xfId="192"/>
    <cellStyle name="Prepojená bunka" xfId="193"/>
    <cellStyle name="Prepojená bunka 2" xfId="194"/>
    <cellStyle name="ProductNo." xfId="195"/>
    <cellStyle name="Spolu" xfId="196"/>
    <cellStyle name="Spolu 2" xfId="197"/>
    <cellStyle name="Text upozornenia" xfId="198"/>
    <cellStyle name="Text upozornenia 2" xfId="199"/>
    <cellStyle name="Titul" xfId="200"/>
    <cellStyle name="Titul 2" xfId="201"/>
    <cellStyle name="Total" xfId="202"/>
    <cellStyle name="Upozornenie" xfId="203"/>
    <cellStyle name="Vstup" xfId="204"/>
    <cellStyle name="Vstup 2" xfId="205"/>
    <cellStyle name="Výpočet" xfId="206"/>
    <cellStyle name="Výpočet 2" xfId="207"/>
    <cellStyle name="Výstup" xfId="208"/>
    <cellStyle name="Výstup 2" xfId="209"/>
    <cellStyle name="Vysvetľujúci text" xfId="210"/>
    <cellStyle name="Vysvetľujúci text 2" xfId="211"/>
    <cellStyle name="Zlá" xfId="212"/>
    <cellStyle name="Zlá 2" xfId="213"/>
    <cellStyle name="Zvýraznenie1" xfId="214"/>
    <cellStyle name="Zvýraznenie1 2" xfId="215"/>
    <cellStyle name="Zvýraznenie2" xfId="216"/>
    <cellStyle name="Zvýraznenie2 2" xfId="217"/>
    <cellStyle name="Zvýraznenie3" xfId="218"/>
    <cellStyle name="Zvýraznenie3 2" xfId="219"/>
    <cellStyle name="Zvýraznenie4" xfId="220"/>
    <cellStyle name="Zvýraznenie4 2" xfId="221"/>
    <cellStyle name="Zvýraznenie5" xfId="222"/>
    <cellStyle name="Zvýraznenie5 2" xfId="223"/>
    <cellStyle name="Zvýraznenie6" xfId="224"/>
    <cellStyle name="Zvýraznenie6 2" xfId="2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PageLayoutView="0" workbookViewId="0" topLeftCell="A1">
      <selection activeCell="A31" sqref="A31"/>
    </sheetView>
  </sheetViews>
  <sheetFormatPr defaultColWidth="8.00390625" defaultRowHeight="15"/>
  <cols>
    <col min="1" max="1" width="26.8515625" style="1" customWidth="1"/>
    <col min="2" max="2" width="17.57421875" style="1" customWidth="1"/>
    <col min="3" max="3" width="13.421875" style="1" customWidth="1"/>
    <col min="4" max="4" width="14.57421875" style="1" customWidth="1"/>
    <col min="5" max="5" width="9.7109375" style="1" customWidth="1"/>
    <col min="6" max="6" width="9.140625" style="2" customWidth="1"/>
    <col min="7" max="7" width="11.28125" style="13" customWidth="1"/>
    <col min="8" max="8" width="11.00390625" style="59" customWidth="1"/>
    <col min="9" max="16384" width="8.00390625" style="1" customWidth="1"/>
  </cols>
  <sheetData>
    <row r="1" ht="15">
      <c r="G1" s="3"/>
    </row>
    <row r="3" ht="15">
      <c r="G3" s="3"/>
    </row>
    <row r="4" spans="2:8" ht="15">
      <c r="B4" s="5"/>
      <c r="C4" s="5"/>
      <c r="D4" s="5"/>
      <c r="E4" s="5"/>
      <c r="F4" s="6"/>
      <c r="G4" s="5"/>
      <c r="H4" s="3"/>
    </row>
    <row r="5" spans="1:7" ht="15">
      <c r="A5" s="235"/>
      <c r="B5" s="235"/>
      <c r="C5" s="235"/>
      <c r="D5" s="235"/>
      <c r="E5" s="235"/>
      <c r="F5" s="235"/>
      <c r="G5" s="235"/>
    </row>
    <row r="6" spans="1:7" ht="15">
      <c r="A6" s="5" t="s">
        <v>66</v>
      </c>
      <c r="B6" s="42"/>
      <c r="C6" s="42"/>
      <c r="D6" s="42"/>
      <c r="E6" s="42"/>
      <c r="F6" s="8"/>
      <c r="G6" s="42"/>
    </row>
    <row r="7" spans="1:7" ht="15">
      <c r="A7" s="9" t="s">
        <v>65</v>
      </c>
      <c r="B7" s="42"/>
      <c r="C7" s="42"/>
      <c r="D7" s="42"/>
      <c r="E7" s="42"/>
      <c r="F7" s="8"/>
      <c r="G7" s="42"/>
    </row>
    <row r="8" spans="1:7" ht="15">
      <c r="A8" s="42"/>
      <c r="B8" s="42"/>
      <c r="C8" s="42"/>
      <c r="D8" s="42"/>
      <c r="E8" s="42"/>
      <c r="F8" s="8"/>
      <c r="G8" s="42"/>
    </row>
    <row r="9" spans="1:8" ht="15.75" customHeight="1">
      <c r="A9" s="10"/>
      <c r="B9" s="10"/>
      <c r="C9" s="10"/>
      <c r="D9" s="10"/>
      <c r="E9" s="11"/>
      <c r="F9" s="12"/>
      <c r="H9" s="14" t="s">
        <v>1</v>
      </c>
    </row>
    <row r="10" spans="1:8" ht="15.75" customHeight="1">
      <c r="A10" s="236" t="s">
        <v>2</v>
      </c>
      <c r="B10" s="239" t="s">
        <v>46</v>
      </c>
      <c r="C10" s="242" t="s">
        <v>60</v>
      </c>
      <c r="D10" s="243"/>
      <c r="E10" s="246" t="s">
        <v>5</v>
      </c>
      <c r="F10" s="247"/>
      <c r="G10" s="233" t="s">
        <v>58</v>
      </c>
      <c r="H10" s="232" t="s">
        <v>59</v>
      </c>
    </row>
    <row r="11" spans="1:8" ht="12" customHeight="1">
      <c r="A11" s="237"/>
      <c r="B11" s="240"/>
      <c r="C11" s="244"/>
      <c r="D11" s="245"/>
      <c r="E11" s="233" t="s">
        <v>56</v>
      </c>
      <c r="F11" s="233" t="s">
        <v>57</v>
      </c>
      <c r="G11" s="248"/>
      <c r="H11" s="232"/>
    </row>
    <row r="12" spans="1:8" ht="21" customHeight="1">
      <c r="A12" s="238"/>
      <c r="B12" s="241"/>
      <c r="C12" s="43">
        <v>2011</v>
      </c>
      <c r="D12" s="43">
        <v>2012</v>
      </c>
      <c r="E12" s="234"/>
      <c r="F12" s="234"/>
      <c r="G12" s="234"/>
      <c r="H12" s="232"/>
    </row>
    <row r="13" spans="1:8" ht="15">
      <c r="A13" s="16" t="s">
        <v>6</v>
      </c>
      <c r="B13" s="17">
        <v>1</v>
      </c>
      <c r="C13" s="17">
        <v>2</v>
      </c>
      <c r="D13" s="17">
        <v>3</v>
      </c>
      <c r="E13" s="18">
        <v>4</v>
      </c>
      <c r="F13" s="19">
        <v>5</v>
      </c>
      <c r="G13" s="17">
        <v>6</v>
      </c>
      <c r="H13" s="60">
        <v>7</v>
      </c>
    </row>
    <row r="14" spans="1:8" ht="18" customHeight="1">
      <c r="A14" s="21" t="s">
        <v>7</v>
      </c>
      <c r="B14" s="22">
        <v>91506</v>
      </c>
      <c r="C14" s="22">
        <v>82499</v>
      </c>
      <c r="D14" s="61">
        <v>91689</v>
      </c>
      <c r="E14" s="24">
        <f>+D14-B14</f>
        <v>183</v>
      </c>
      <c r="F14" s="25">
        <f>+D14-C14</f>
        <v>9190</v>
      </c>
      <c r="G14" s="26">
        <f aca="true" t="shared" si="0" ref="G14:G50">+D14/B14*100</f>
        <v>100.19998688610583</v>
      </c>
      <c r="H14" s="27">
        <f>+D14/C14*100</f>
        <v>111.13952896398744</v>
      </c>
    </row>
    <row r="15" spans="1:8" ht="18" customHeight="1">
      <c r="A15" s="21" t="s">
        <v>8</v>
      </c>
      <c r="B15" s="22">
        <v>17381</v>
      </c>
      <c r="C15" s="22">
        <v>15682</v>
      </c>
      <c r="D15" s="28">
        <v>17007</v>
      </c>
      <c r="E15" s="24">
        <f aca="true" t="shared" si="1" ref="E15:E52">+D15-B15</f>
        <v>-374</v>
      </c>
      <c r="F15" s="25">
        <f aca="true" t="shared" si="2" ref="F15:F52">+D15-C15</f>
        <v>1325</v>
      </c>
      <c r="G15" s="26">
        <f t="shared" si="0"/>
        <v>97.84822507335596</v>
      </c>
      <c r="H15" s="29">
        <f aca="true" t="shared" si="3" ref="H15:H52">+D15/C15*100</f>
        <v>108.44917740084172</v>
      </c>
    </row>
    <row r="16" spans="1:8" ht="18" customHeight="1">
      <c r="A16" s="21" t="s">
        <v>9</v>
      </c>
      <c r="B16" s="22">
        <v>7474</v>
      </c>
      <c r="C16" s="22">
        <v>6741</v>
      </c>
      <c r="D16" s="28">
        <v>7369</v>
      </c>
      <c r="E16" s="24">
        <f t="shared" si="1"/>
        <v>-105</v>
      </c>
      <c r="F16" s="25">
        <f t="shared" si="2"/>
        <v>628</v>
      </c>
      <c r="G16" s="26">
        <f t="shared" si="0"/>
        <v>98.5951297832486</v>
      </c>
      <c r="H16" s="29">
        <f t="shared" si="3"/>
        <v>109.31612520397567</v>
      </c>
    </row>
    <row r="17" spans="1:8" ht="18" customHeight="1">
      <c r="A17" s="21" t="s">
        <v>10</v>
      </c>
      <c r="B17" s="22">
        <v>7461</v>
      </c>
      <c r="C17" s="22">
        <v>6730</v>
      </c>
      <c r="D17" s="28">
        <v>7690</v>
      </c>
      <c r="E17" s="24">
        <f t="shared" si="1"/>
        <v>229</v>
      </c>
      <c r="F17" s="25">
        <f t="shared" si="2"/>
        <v>960</v>
      </c>
      <c r="G17" s="26">
        <f t="shared" si="0"/>
        <v>103.06929366036724</v>
      </c>
      <c r="H17" s="29">
        <f t="shared" si="3"/>
        <v>114.26448736998513</v>
      </c>
    </row>
    <row r="18" spans="1:8" ht="18" customHeight="1">
      <c r="A18" s="21" t="s">
        <v>11</v>
      </c>
      <c r="B18" s="22">
        <v>8234</v>
      </c>
      <c r="C18" s="22">
        <v>7434</v>
      </c>
      <c r="D18" s="28">
        <v>8262</v>
      </c>
      <c r="E18" s="24">
        <f t="shared" si="1"/>
        <v>28</v>
      </c>
      <c r="F18" s="25">
        <f t="shared" si="2"/>
        <v>828</v>
      </c>
      <c r="G18" s="26">
        <f t="shared" si="0"/>
        <v>100.34005343696866</v>
      </c>
      <c r="H18" s="29">
        <f t="shared" si="3"/>
        <v>111.13801452784504</v>
      </c>
    </row>
    <row r="19" spans="1:8" ht="18" customHeight="1">
      <c r="A19" s="21" t="s">
        <v>12</v>
      </c>
      <c r="B19" s="22">
        <v>15639</v>
      </c>
      <c r="C19" s="22">
        <v>14134</v>
      </c>
      <c r="D19" s="28">
        <v>14818</v>
      </c>
      <c r="E19" s="24">
        <f t="shared" si="1"/>
        <v>-821</v>
      </c>
      <c r="F19" s="25">
        <f t="shared" si="2"/>
        <v>684</v>
      </c>
      <c r="G19" s="26">
        <f t="shared" si="0"/>
        <v>94.75030372785984</v>
      </c>
      <c r="H19" s="29">
        <f t="shared" si="3"/>
        <v>104.83939436819018</v>
      </c>
    </row>
    <row r="20" spans="1:8" ht="18" customHeight="1">
      <c r="A20" s="21" t="s">
        <v>13</v>
      </c>
      <c r="B20" s="22">
        <v>11584</v>
      </c>
      <c r="C20" s="22">
        <v>10458</v>
      </c>
      <c r="D20" s="28">
        <v>11826</v>
      </c>
      <c r="E20" s="24">
        <f t="shared" si="1"/>
        <v>242</v>
      </c>
      <c r="F20" s="25">
        <f t="shared" si="2"/>
        <v>1368</v>
      </c>
      <c r="G20" s="26">
        <f t="shared" si="0"/>
        <v>102.08908839779005</v>
      </c>
      <c r="H20" s="29">
        <f t="shared" si="3"/>
        <v>113.08089500860585</v>
      </c>
    </row>
    <row r="21" spans="1:8" ht="18" customHeight="1">
      <c r="A21" s="21" t="s">
        <v>14</v>
      </c>
      <c r="B21" s="22">
        <v>10565</v>
      </c>
      <c r="C21" s="22">
        <v>9536</v>
      </c>
      <c r="D21" s="28">
        <v>10422</v>
      </c>
      <c r="E21" s="24">
        <f t="shared" si="1"/>
        <v>-143</v>
      </c>
      <c r="F21" s="25">
        <f t="shared" si="2"/>
        <v>886</v>
      </c>
      <c r="G21" s="26">
        <f t="shared" si="0"/>
        <v>98.64647420728822</v>
      </c>
      <c r="H21" s="29">
        <f t="shared" si="3"/>
        <v>109.29110738255035</v>
      </c>
    </row>
    <row r="22" spans="1:8" ht="18" customHeight="1">
      <c r="A22" s="21" t="s">
        <v>15</v>
      </c>
      <c r="B22" s="22">
        <v>13881</v>
      </c>
      <c r="C22" s="22">
        <v>12526</v>
      </c>
      <c r="D22" s="28">
        <v>14083</v>
      </c>
      <c r="E22" s="24">
        <f t="shared" si="1"/>
        <v>202</v>
      </c>
      <c r="F22" s="25">
        <f t="shared" si="2"/>
        <v>1557</v>
      </c>
      <c r="G22" s="26">
        <f t="shared" si="0"/>
        <v>101.45522656869102</v>
      </c>
      <c r="H22" s="29">
        <f t="shared" si="3"/>
        <v>112.43014529778061</v>
      </c>
    </row>
    <row r="23" spans="1:8" ht="18" customHeight="1">
      <c r="A23" s="21" t="s">
        <v>16</v>
      </c>
      <c r="B23" s="22">
        <v>3312</v>
      </c>
      <c r="C23" s="22">
        <v>2986</v>
      </c>
      <c r="D23" s="28">
        <v>3061</v>
      </c>
      <c r="E23" s="24">
        <f t="shared" si="1"/>
        <v>-251</v>
      </c>
      <c r="F23" s="25">
        <f t="shared" si="2"/>
        <v>75</v>
      </c>
      <c r="G23" s="26">
        <f t="shared" si="0"/>
        <v>92.42149758454107</v>
      </c>
      <c r="H23" s="29">
        <f t="shared" si="3"/>
        <v>102.51172136637643</v>
      </c>
    </row>
    <row r="24" spans="1:8" ht="18" customHeight="1">
      <c r="A24" s="21" t="s">
        <v>17</v>
      </c>
      <c r="B24" s="22">
        <v>5867</v>
      </c>
      <c r="C24" s="22">
        <v>5294</v>
      </c>
      <c r="D24" s="28">
        <v>5861</v>
      </c>
      <c r="E24" s="24">
        <f t="shared" si="1"/>
        <v>-6</v>
      </c>
      <c r="F24" s="25">
        <f t="shared" si="2"/>
        <v>567</v>
      </c>
      <c r="G24" s="26">
        <f t="shared" si="0"/>
        <v>99.89773308334755</v>
      </c>
      <c r="H24" s="29">
        <f t="shared" si="3"/>
        <v>110.71023800528901</v>
      </c>
    </row>
    <row r="25" spans="1:8" ht="18" customHeight="1">
      <c r="A25" s="21" t="s">
        <v>18</v>
      </c>
      <c r="B25" s="22">
        <v>5726</v>
      </c>
      <c r="C25" s="22">
        <v>5162</v>
      </c>
      <c r="D25" s="28">
        <v>5655</v>
      </c>
      <c r="E25" s="24">
        <f t="shared" si="1"/>
        <v>-71</v>
      </c>
      <c r="F25" s="25">
        <f t="shared" si="2"/>
        <v>493</v>
      </c>
      <c r="G25" s="26">
        <f t="shared" si="0"/>
        <v>98.76004191407614</v>
      </c>
      <c r="H25" s="29">
        <f t="shared" si="3"/>
        <v>109.5505617977528</v>
      </c>
    </row>
    <row r="26" spans="1:8" ht="18" customHeight="1">
      <c r="A26" s="21" t="s">
        <v>19</v>
      </c>
      <c r="B26" s="22">
        <v>14227</v>
      </c>
      <c r="C26" s="22">
        <v>12855</v>
      </c>
      <c r="D26" s="28">
        <v>14762</v>
      </c>
      <c r="E26" s="24">
        <f t="shared" si="1"/>
        <v>535</v>
      </c>
      <c r="F26" s="25">
        <f t="shared" si="2"/>
        <v>1907</v>
      </c>
      <c r="G26" s="26">
        <f t="shared" si="0"/>
        <v>103.76045547198989</v>
      </c>
      <c r="H26" s="29">
        <f t="shared" si="3"/>
        <v>114.83469467133412</v>
      </c>
    </row>
    <row r="27" spans="1:8" ht="18" customHeight="1">
      <c r="A27" s="21" t="s">
        <v>20</v>
      </c>
      <c r="B27" s="22">
        <v>18461</v>
      </c>
      <c r="C27" s="22">
        <v>16665</v>
      </c>
      <c r="D27" s="28">
        <v>19045</v>
      </c>
      <c r="E27" s="24">
        <f t="shared" si="1"/>
        <v>584</v>
      </c>
      <c r="F27" s="25">
        <f t="shared" si="2"/>
        <v>2380</v>
      </c>
      <c r="G27" s="26">
        <f t="shared" si="0"/>
        <v>103.16342559991334</v>
      </c>
      <c r="H27" s="29">
        <f t="shared" si="3"/>
        <v>114.28142814281428</v>
      </c>
    </row>
    <row r="28" spans="1:8" ht="18" customHeight="1">
      <c r="A28" s="21" t="s">
        <v>21</v>
      </c>
      <c r="B28" s="22">
        <v>8404</v>
      </c>
      <c r="C28" s="22">
        <v>7588</v>
      </c>
      <c r="D28" s="28">
        <v>8989</v>
      </c>
      <c r="E28" s="24">
        <f t="shared" si="1"/>
        <v>585</v>
      </c>
      <c r="F28" s="25">
        <f t="shared" si="2"/>
        <v>1401</v>
      </c>
      <c r="G28" s="26">
        <f t="shared" si="0"/>
        <v>106.96097096620656</v>
      </c>
      <c r="H28" s="29">
        <f t="shared" si="3"/>
        <v>118.46336320506062</v>
      </c>
    </row>
    <row r="29" spans="1:8" ht="18" customHeight="1">
      <c r="A29" s="21" t="s">
        <v>22</v>
      </c>
      <c r="B29" s="22">
        <v>9095</v>
      </c>
      <c r="C29" s="22">
        <v>8202</v>
      </c>
      <c r="D29" s="28">
        <v>10089</v>
      </c>
      <c r="E29" s="24">
        <f t="shared" si="1"/>
        <v>994</v>
      </c>
      <c r="F29" s="25">
        <f t="shared" si="2"/>
        <v>1887</v>
      </c>
      <c r="G29" s="26">
        <f t="shared" si="0"/>
        <v>110.92908191313909</v>
      </c>
      <c r="H29" s="29">
        <f t="shared" si="3"/>
        <v>123.00658376005853</v>
      </c>
    </row>
    <row r="30" spans="1:8" ht="18" customHeight="1">
      <c r="A30" s="21" t="s">
        <v>23</v>
      </c>
      <c r="B30" s="22">
        <v>10471</v>
      </c>
      <c r="C30" s="22">
        <v>9454</v>
      </c>
      <c r="D30" s="28">
        <v>10494</v>
      </c>
      <c r="E30" s="24">
        <f t="shared" si="1"/>
        <v>23</v>
      </c>
      <c r="F30" s="25">
        <f t="shared" si="2"/>
        <v>1040</v>
      </c>
      <c r="G30" s="26">
        <f t="shared" si="0"/>
        <v>100.21965428325852</v>
      </c>
      <c r="H30" s="29">
        <f t="shared" si="3"/>
        <v>111.00063465199916</v>
      </c>
    </row>
    <row r="31" spans="1:8" ht="18" customHeight="1">
      <c r="A31" s="21" t="s">
        <v>24</v>
      </c>
      <c r="B31" s="22">
        <v>7478</v>
      </c>
      <c r="C31" s="22">
        <v>6753</v>
      </c>
      <c r="D31" s="28">
        <v>8214</v>
      </c>
      <c r="E31" s="24">
        <f t="shared" si="1"/>
        <v>736</v>
      </c>
      <c r="F31" s="25">
        <f t="shared" si="2"/>
        <v>1461</v>
      </c>
      <c r="G31" s="26">
        <f t="shared" si="0"/>
        <v>109.84220379780689</v>
      </c>
      <c r="H31" s="29">
        <f t="shared" si="3"/>
        <v>121.6348289649045</v>
      </c>
    </row>
    <row r="32" spans="1:8" ht="18" customHeight="1">
      <c r="A32" s="21" t="s">
        <v>25</v>
      </c>
      <c r="B32" s="22">
        <v>14365</v>
      </c>
      <c r="C32" s="22">
        <v>12968</v>
      </c>
      <c r="D32" s="28">
        <v>13745</v>
      </c>
      <c r="E32" s="24">
        <f t="shared" si="1"/>
        <v>-620</v>
      </c>
      <c r="F32" s="25">
        <f t="shared" si="2"/>
        <v>777</v>
      </c>
      <c r="G32" s="26">
        <f t="shared" si="0"/>
        <v>95.68395405499479</v>
      </c>
      <c r="H32" s="29">
        <f t="shared" si="3"/>
        <v>105.99167180752622</v>
      </c>
    </row>
    <row r="33" spans="1:8" ht="18" customHeight="1">
      <c r="A33" s="21" t="s">
        <v>26</v>
      </c>
      <c r="B33" s="22">
        <v>4378</v>
      </c>
      <c r="C33" s="22">
        <v>3945</v>
      </c>
      <c r="D33" s="28">
        <v>4132</v>
      </c>
      <c r="E33" s="24">
        <f t="shared" si="1"/>
        <v>-246</v>
      </c>
      <c r="F33" s="25">
        <f t="shared" si="2"/>
        <v>187</v>
      </c>
      <c r="G33" s="26">
        <f t="shared" si="0"/>
        <v>94.38099588853358</v>
      </c>
      <c r="H33" s="29">
        <f t="shared" si="3"/>
        <v>104.74017743979722</v>
      </c>
    </row>
    <row r="34" spans="1:8" ht="18" customHeight="1">
      <c r="A34" s="21" t="s">
        <v>27</v>
      </c>
      <c r="B34" s="22">
        <v>2328</v>
      </c>
      <c r="C34" s="22">
        <v>2101</v>
      </c>
      <c r="D34" s="28">
        <v>2206</v>
      </c>
      <c r="E34" s="24">
        <f t="shared" si="1"/>
        <v>-122</v>
      </c>
      <c r="F34" s="25">
        <f t="shared" si="2"/>
        <v>105</v>
      </c>
      <c r="G34" s="26">
        <f t="shared" si="0"/>
        <v>94.7594501718213</v>
      </c>
      <c r="H34" s="29">
        <f t="shared" si="3"/>
        <v>104.99762018086625</v>
      </c>
    </row>
    <row r="35" spans="1:8" ht="18" customHeight="1">
      <c r="A35" s="21" t="s">
        <v>28</v>
      </c>
      <c r="B35" s="22">
        <v>1631</v>
      </c>
      <c r="C35" s="22">
        <v>1474</v>
      </c>
      <c r="D35" s="28">
        <v>1746</v>
      </c>
      <c r="E35" s="24">
        <f t="shared" si="1"/>
        <v>115</v>
      </c>
      <c r="F35" s="25">
        <f t="shared" si="2"/>
        <v>272</v>
      </c>
      <c r="G35" s="26">
        <f t="shared" si="0"/>
        <v>107.05088902513795</v>
      </c>
      <c r="H35" s="29">
        <f t="shared" si="3"/>
        <v>118.45318860244234</v>
      </c>
    </row>
    <row r="36" spans="1:8" ht="18" customHeight="1">
      <c r="A36" s="21" t="s">
        <v>29</v>
      </c>
      <c r="B36" s="22">
        <v>6768</v>
      </c>
      <c r="C36" s="22">
        <v>6104</v>
      </c>
      <c r="D36" s="28">
        <v>6500</v>
      </c>
      <c r="E36" s="24">
        <f t="shared" si="1"/>
        <v>-268</v>
      </c>
      <c r="F36" s="25">
        <f t="shared" si="2"/>
        <v>396</v>
      </c>
      <c r="G36" s="26">
        <f t="shared" si="0"/>
        <v>96.04018912529551</v>
      </c>
      <c r="H36" s="29">
        <f t="shared" si="3"/>
        <v>106.48754914809962</v>
      </c>
    </row>
    <row r="37" spans="1:8" ht="18" customHeight="1">
      <c r="A37" s="21" t="s">
        <v>30</v>
      </c>
      <c r="B37" s="22">
        <v>3350</v>
      </c>
      <c r="C37" s="22">
        <v>3019</v>
      </c>
      <c r="D37" s="28">
        <v>3358</v>
      </c>
      <c r="E37" s="24">
        <f t="shared" si="1"/>
        <v>8</v>
      </c>
      <c r="F37" s="25">
        <f t="shared" si="2"/>
        <v>339</v>
      </c>
      <c r="G37" s="26">
        <f t="shared" si="0"/>
        <v>100.23880597014924</v>
      </c>
      <c r="H37" s="29">
        <f t="shared" si="3"/>
        <v>111.22888373633653</v>
      </c>
    </row>
    <row r="38" spans="1:8" ht="18" customHeight="1">
      <c r="A38" s="21" t="s">
        <v>31</v>
      </c>
      <c r="B38" s="22">
        <v>20670</v>
      </c>
      <c r="C38" s="22">
        <v>18695</v>
      </c>
      <c r="D38" s="28">
        <v>22412</v>
      </c>
      <c r="E38" s="24">
        <f t="shared" si="1"/>
        <v>1742</v>
      </c>
      <c r="F38" s="25">
        <f t="shared" si="2"/>
        <v>3717</v>
      </c>
      <c r="G38" s="26">
        <f t="shared" si="0"/>
        <v>108.42767295597484</v>
      </c>
      <c r="H38" s="29">
        <f t="shared" si="3"/>
        <v>119.88232147633057</v>
      </c>
    </row>
    <row r="39" spans="1:8" ht="18" customHeight="1">
      <c r="A39" s="21" t="s">
        <v>32</v>
      </c>
      <c r="B39" s="22">
        <v>5916</v>
      </c>
      <c r="C39" s="22">
        <v>5352</v>
      </c>
      <c r="D39" s="28">
        <v>6038</v>
      </c>
      <c r="E39" s="24">
        <f t="shared" si="1"/>
        <v>122</v>
      </c>
      <c r="F39" s="25">
        <f t="shared" si="2"/>
        <v>686</v>
      </c>
      <c r="G39" s="26">
        <f t="shared" si="0"/>
        <v>102.06220419202164</v>
      </c>
      <c r="H39" s="29">
        <f t="shared" si="3"/>
        <v>112.81763826606877</v>
      </c>
    </row>
    <row r="40" spans="1:8" ht="18" customHeight="1">
      <c r="A40" s="21" t="s">
        <v>47</v>
      </c>
      <c r="B40" s="22">
        <v>6117</v>
      </c>
      <c r="C40" s="22">
        <v>5526</v>
      </c>
      <c r="D40" s="28">
        <v>5976</v>
      </c>
      <c r="E40" s="24">
        <f t="shared" si="1"/>
        <v>-141</v>
      </c>
      <c r="F40" s="25">
        <f t="shared" si="2"/>
        <v>450</v>
      </c>
      <c r="G40" s="26">
        <f t="shared" si="0"/>
        <v>97.6949485041687</v>
      </c>
      <c r="H40" s="29">
        <f t="shared" si="3"/>
        <v>108.14332247557003</v>
      </c>
    </row>
    <row r="41" spans="1:8" ht="18" customHeight="1">
      <c r="A41" s="21" t="s">
        <v>34</v>
      </c>
      <c r="B41" s="22">
        <v>15033</v>
      </c>
      <c r="C41" s="22">
        <v>13566</v>
      </c>
      <c r="D41" s="28">
        <v>15271</v>
      </c>
      <c r="E41" s="24">
        <f t="shared" si="1"/>
        <v>238</v>
      </c>
      <c r="F41" s="25">
        <f t="shared" si="2"/>
        <v>1705</v>
      </c>
      <c r="G41" s="26">
        <f t="shared" si="0"/>
        <v>101.58318366260892</v>
      </c>
      <c r="H41" s="29">
        <f t="shared" si="3"/>
        <v>112.56818516880436</v>
      </c>
    </row>
    <row r="42" spans="1:8" ht="18" customHeight="1">
      <c r="A42" s="21" t="s">
        <v>35</v>
      </c>
      <c r="B42" s="22">
        <v>6511</v>
      </c>
      <c r="C42" s="22">
        <v>5894</v>
      </c>
      <c r="D42" s="28">
        <v>6094</v>
      </c>
      <c r="E42" s="24">
        <f t="shared" si="1"/>
        <v>-417</v>
      </c>
      <c r="F42" s="25">
        <f t="shared" si="2"/>
        <v>200</v>
      </c>
      <c r="G42" s="26">
        <f t="shared" si="0"/>
        <v>93.59545384733528</v>
      </c>
      <c r="H42" s="29">
        <f t="shared" si="3"/>
        <v>103.39328130302002</v>
      </c>
    </row>
    <row r="43" spans="1:8" ht="18" customHeight="1">
      <c r="A43" s="21" t="s">
        <v>36</v>
      </c>
      <c r="B43" s="22">
        <v>6306</v>
      </c>
      <c r="C43" s="22">
        <v>5715</v>
      </c>
      <c r="D43" s="28">
        <v>6821</v>
      </c>
      <c r="E43" s="24">
        <f t="shared" si="1"/>
        <v>515</v>
      </c>
      <c r="F43" s="25">
        <f t="shared" si="2"/>
        <v>1106</v>
      </c>
      <c r="G43" s="26">
        <f t="shared" si="0"/>
        <v>108.16682524579765</v>
      </c>
      <c r="H43" s="29">
        <f t="shared" si="3"/>
        <v>119.35258092738408</v>
      </c>
    </row>
    <row r="44" spans="1:8" ht="18" customHeight="1">
      <c r="A44" s="21" t="s">
        <v>37</v>
      </c>
      <c r="B44" s="22">
        <v>7509</v>
      </c>
      <c r="C44" s="22">
        <v>6793</v>
      </c>
      <c r="D44" s="28">
        <v>8337</v>
      </c>
      <c r="E44" s="24">
        <f t="shared" si="1"/>
        <v>828</v>
      </c>
      <c r="F44" s="25">
        <f t="shared" si="2"/>
        <v>1544</v>
      </c>
      <c r="G44" s="26">
        <f t="shared" si="0"/>
        <v>111.02676787854575</v>
      </c>
      <c r="H44" s="29">
        <f t="shared" si="3"/>
        <v>122.72928014132194</v>
      </c>
    </row>
    <row r="45" spans="1:8" ht="18" customHeight="1">
      <c r="A45" s="21" t="s">
        <v>38</v>
      </c>
      <c r="B45" s="22">
        <v>27597</v>
      </c>
      <c r="C45" s="22">
        <v>24923</v>
      </c>
      <c r="D45" s="28">
        <v>27429</v>
      </c>
      <c r="E45" s="24">
        <f t="shared" si="1"/>
        <v>-168</v>
      </c>
      <c r="F45" s="25">
        <f t="shared" si="2"/>
        <v>2506</v>
      </c>
      <c r="G45" s="26">
        <f t="shared" si="0"/>
        <v>99.39123817806284</v>
      </c>
      <c r="H45" s="29">
        <f t="shared" si="3"/>
        <v>110.05496930546082</v>
      </c>
    </row>
    <row r="46" spans="1:8" ht="18" customHeight="1">
      <c r="A46" s="21" t="s">
        <v>39</v>
      </c>
      <c r="B46" s="22">
        <v>10638</v>
      </c>
      <c r="C46" s="22">
        <v>9606</v>
      </c>
      <c r="D46" s="28">
        <v>10458</v>
      </c>
      <c r="E46" s="24">
        <f t="shared" si="1"/>
        <v>-180</v>
      </c>
      <c r="F46" s="25">
        <f t="shared" si="2"/>
        <v>852</v>
      </c>
      <c r="G46" s="26">
        <f t="shared" si="0"/>
        <v>98.30795262267344</v>
      </c>
      <c r="H46" s="29">
        <f t="shared" si="3"/>
        <v>108.86945658963147</v>
      </c>
    </row>
    <row r="47" spans="1:8" ht="18" customHeight="1">
      <c r="A47" s="21" t="s">
        <v>40</v>
      </c>
      <c r="B47" s="22">
        <v>2638</v>
      </c>
      <c r="C47" s="22">
        <v>2383</v>
      </c>
      <c r="D47" s="28">
        <v>2638</v>
      </c>
      <c r="E47" s="24">
        <f t="shared" si="1"/>
        <v>0</v>
      </c>
      <c r="F47" s="25">
        <f t="shared" si="2"/>
        <v>255</v>
      </c>
      <c r="G47" s="26">
        <f t="shared" si="0"/>
        <v>100</v>
      </c>
      <c r="H47" s="29">
        <f t="shared" si="3"/>
        <v>110.70079731430968</v>
      </c>
    </row>
    <row r="48" spans="1:8" ht="18" customHeight="1">
      <c r="A48" s="21" t="s">
        <v>41</v>
      </c>
      <c r="B48" s="22">
        <v>11137</v>
      </c>
      <c r="C48" s="22">
        <v>10051</v>
      </c>
      <c r="D48" s="28">
        <v>12503</v>
      </c>
      <c r="E48" s="24">
        <f t="shared" si="1"/>
        <v>1366</v>
      </c>
      <c r="F48" s="25">
        <f t="shared" si="2"/>
        <v>2452</v>
      </c>
      <c r="G48" s="26">
        <f t="shared" si="0"/>
        <v>112.26542156774715</v>
      </c>
      <c r="H48" s="29">
        <f t="shared" si="3"/>
        <v>124.39558252910159</v>
      </c>
    </row>
    <row r="49" spans="1:8" ht="18" customHeight="1">
      <c r="A49" s="21" t="s">
        <v>42</v>
      </c>
      <c r="B49" s="22">
        <v>2917</v>
      </c>
      <c r="C49" s="22">
        <v>2628</v>
      </c>
      <c r="D49" s="28">
        <v>3160</v>
      </c>
      <c r="E49" s="24">
        <f t="shared" si="1"/>
        <v>243</v>
      </c>
      <c r="F49" s="25">
        <f t="shared" si="2"/>
        <v>532</v>
      </c>
      <c r="G49" s="26">
        <f t="shared" si="0"/>
        <v>108.3304765169695</v>
      </c>
      <c r="H49" s="29">
        <f t="shared" si="3"/>
        <v>120.24353120243532</v>
      </c>
    </row>
    <row r="50" spans="1:8" ht="18" customHeight="1">
      <c r="A50" s="30" t="s">
        <v>43</v>
      </c>
      <c r="B50" s="31">
        <f>SUM(B14:B49)</f>
        <v>422575</v>
      </c>
      <c r="C50" s="31">
        <v>381442</v>
      </c>
      <c r="D50" s="31">
        <v>428160</v>
      </c>
      <c r="E50" s="32">
        <f t="shared" si="1"/>
        <v>5585</v>
      </c>
      <c r="F50" s="33">
        <f t="shared" si="2"/>
        <v>46718</v>
      </c>
      <c r="G50" s="34">
        <f t="shared" si="0"/>
        <v>101.32165887712242</v>
      </c>
      <c r="H50" s="34">
        <f t="shared" si="3"/>
        <v>112.2477336003901</v>
      </c>
    </row>
    <row r="51" spans="1:8" ht="18" customHeight="1">
      <c r="A51" s="35" t="s">
        <v>48</v>
      </c>
      <c r="B51" s="36">
        <v>0</v>
      </c>
      <c r="C51" s="36">
        <v>-6</v>
      </c>
      <c r="D51" s="36">
        <v>0</v>
      </c>
      <c r="E51" s="32">
        <f t="shared" si="1"/>
        <v>0</v>
      </c>
      <c r="F51" s="33">
        <f t="shared" si="2"/>
        <v>6</v>
      </c>
      <c r="G51" s="34">
        <v>0</v>
      </c>
      <c r="H51" s="34">
        <v>0</v>
      </c>
    </row>
    <row r="52" spans="1:8" ht="19.5" customHeight="1">
      <c r="A52" s="38" t="s">
        <v>55</v>
      </c>
      <c r="B52" s="39">
        <f>+B50+B51</f>
        <v>422575</v>
      </c>
      <c r="C52" s="39">
        <v>381436</v>
      </c>
      <c r="D52" s="39">
        <v>428160</v>
      </c>
      <c r="E52" s="32">
        <f t="shared" si="1"/>
        <v>5585</v>
      </c>
      <c r="F52" s="33">
        <f t="shared" si="2"/>
        <v>46724</v>
      </c>
      <c r="G52" s="34">
        <f>+D52/B52*100</f>
        <v>101.32165887712242</v>
      </c>
      <c r="H52" s="34">
        <f t="shared" si="3"/>
        <v>112.24949926068855</v>
      </c>
    </row>
    <row r="53" spans="1:7" ht="15">
      <c r="A53" s="40"/>
      <c r="B53" s="40"/>
      <c r="C53" s="40"/>
      <c r="D53" s="40"/>
      <c r="E53" s="40"/>
      <c r="F53" s="41"/>
      <c r="G53" s="40"/>
    </row>
    <row r="101" spans="6:8" ht="19.5" customHeight="1">
      <c r="F101" s="1"/>
      <c r="G101" s="1"/>
      <c r="H101" s="1"/>
    </row>
  </sheetData>
  <sheetProtection/>
  <mergeCells count="9">
    <mergeCell ref="H10:H12"/>
    <mergeCell ref="E11:E12"/>
    <mergeCell ref="F11:F12"/>
    <mergeCell ref="A5:G5"/>
    <mergeCell ref="A10:A12"/>
    <mergeCell ref="B10:B12"/>
    <mergeCell ref="C10:D11"/>
    <mergeCell ref="E10:F10"/>
    <mergeCell ref="G10:G12"/>
  </mergeCells>
  <printOptions horizontalCentered="1" verticalCentered="1"/>
  <pageMargins left="0.3937007874015748" right="0.3937007874015748" top="0.8661417322834646" bottom="0.8661417322834646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3"/>
  <sheetViews>
    <sheetView zoomScalePageLayoutView="0" workbookViewId="0" topLeftCell="A1">
      <selection activeCell="A31" sqref="A31"/>
    </sheetView>
  </sheetViews>
  <sheetFormatPr defaultColWidth="9.140625" defaultRowHeight="18" customHeight="1"/>
  <cols>
    <col min="1" max="1" width="26.421875" style="4" customWidth="1"/>
    <col min="2" max="2" width="13.140625" style="4" customWidth="1"/>
    <col min="3" max="3" width="11.7109375" style="4" customWidth="1"/>
    <col min="4" max="4" width="13.00390625" style="4" customWidth="1"/>
    <col min="5" max="6" width="8.8515625" style="4" customWidth="1"/>
    <col min="7" max="8" width="9.421875" style="4" customWidth="1"/>
    <col min="9" max="16384" width="9.140625" style="4" customWidth="1"/>
  </cols>
  <sheetData>
    <row r="3" spans="1:7" ht="18" customHeight="1">
      <c r="A3" s="5" t="s">
        <v>68</v>
      </c>
      <c r="B3" s="42"/>
      <c r="C3" s="42"/>
      <c r="D3" s="42"/>
      <c r="E3" s="42"/>
      <c r="F3" s="8"/>
      <c r="G3" s="42"/>
    </row>
    <row r="4" spans="1:7" ht="18" customHeight="1">
      <c r="A4" s="9" t="s">
        <v>67</v>
      </c>
      <c r="B4" s="42"/>
      <c r="C4" s="42"/>
      <c r="D4" s="42"/>
      <c r="E4" s="42"/>
      <c r="F4" s="8"/>
      <c r="G4" s="42"/>
    </row>
    <row r="5" spans="1:7" ht="18" customHeight="1">
      <c r="A5" s="42"/>
      <c r="B5" s="42"/>
      <c r="C5" s="42"/>
      <c r="D5" s="42"/>
      <c r="E5" s="42"/>
      <c r="F5" s="8"/>
      <c r="G5" s="42"/>
    </row>
    <row r="6" spans="1:8" ht="18" customHeight="1">
      <c r="A6" s="10"/>
      <c r="B6" s="10"/>
      <c r="C6" s="10"/>
      <c r="D6" s="10"/>
      <c r="E6" s="11"/>
      <c r="F6" s="12"/>
      <c r="G6" s="13"/>
      <c r="H6" s="14" t="s">
        <v>1</v>
      </c>
    </row>
    <row r="7" spans="1:8" ht="18.75" customHeight="1">
      <c r="A7" s="236" t="s">
        <v>2</v>
      </c>
      <c r="B7" s="239" t="s">
        <v>4</v>
      </c>
      <c r="C7" s="242" t="s">
        <v>60</v>
      </c>
      <c r="D7" s="243"/>
      <c r="E7" s="246" t="s">
        <v>5</v>
      </c>
      <c r="F7" s="247"/>
      <c r="G7" s="233" t="s">
        <v>58</v>
      </c>
      <c r="H7" s="232" t="s">
        <v>59</v>
      </c>
    </row>
    <row r="8" spans="1:8" ht="18.75" customHeight="1">
      <c r="A8" s="237"/>
      <c r="B8" s="240"/>
      <c r="C8" s="244"/>
      <c r="D8" s="245"/>
      <c r="E8" s="233" t="s">
        <v>56</v>
      </c>
      <c r="F8" s="233" t="s">
        <v>57</v>
      </c>
      <c r="G8" s="248"/>
      <c r="H8" s="232"/>
    </row>
    <row r="9" spans="1:8" ht="18.75" customHeight="1">
      <c r="A9" s="238"/>
      <c r="B9" s="241"/>
      <c r="C9" s="43">
        <v>2011</v>
      </c>
      <c r="D9" s="43">
        <v>2012</v>
      </c>
      <c r="E9" s="234"/>
      <c r="F9" s="234"/>
      <c r="G9" s="234"/>
      <c r="H9" s="232"/>
    </row>
    <row r="10" spans="1:8" ht="18" customHeight="1">
      <c r="A10" s="16" t="s">
        <v>6</v>
      </c>
      <c r="B10" s="17">
        <v>1</v>
      </c>
      <c r="C10" s="17">
        <v>2</v>
      </c>
      <c r="D10" s="17">
        <v>3</v>
      </c>
      <c r="E10" s="18">
        <v>4</v>
      </c>
      <c r="F10" s="19">
        <v>5</v>
      </c>
      <c r="G10" s="17">
        <v>6</v>
      </c>
      <c r="H10" s="20">
        <v>7</v>
      </c>
    </row>
    <row r="11" spans="1:8" ht="18" customHeight="1">
      <c r="A11" s="21" t="s">
        <v>7</v>
      </c>
      <c r="B11" s="22">
        <v>2594</v>
      </c>
      <c r="C11" s="22">
        <v>2298</v>
      </c>
      <c r="D11" s="23">
        <v>2162</v>
      </c>
      <c r="E11" s="24">
        <f>+D11-B11</f>
        <v>-432</v>
      </c>
      <c r="F11" s="24">
        <f>D11-C11</f>
        <v>-136</v>
      </c>
      <c r="G11" s="26">
        <f aca="true" t="shared" si="0" ref="G11:G49">+D11/B11*100</f>
        <v>83.34618350038551</v>
      </c>
      <c r="H11" s="27">
        <f>+D11/C11*100</f>
        <v>94.08181026979983</v>
      </c>
    </row>
    <row r="12" spans="1:8" ht="18" customHeight="1">
      <c r="A12" s="21" t="s">
        <v>8</v>
      </c>
      <c r="B12" s="22">
        <v>559</v>
      </c>
      <c r="C12" s="22">
        <v>502</v>
      </c>
      <c r="D12" s="28">
        <v>754</v>
      </c>
      <c r="E12" s="24">
        <f aca="true" t="shared" si="1" ref="E12:E51">+D12-B12</f>
        <v>195</v>
      </c>
      <c r="F12" s="24">
        <f aca="true" t="shared" si="2" ref="F12:F51">D12-C12</f>
        <v>252</v>
      </c>
      <c r="G12" s="26">
        <f t="shared" si="0"/>
        <v>134.88372093023256</v>
      </c>
      <c r="H12" s="29">
        <f aca="true" t="shared" si="3" ref="H12:H51">+D12/C12*100</f>
        <v>150.199203187251</v>
      </c>
    </row>
    <row r="13" spans="1:8" ht="18" customHeight="1">
      <c r="A13" s="21" t="s">
        <v>9</v>
      </c>
      <c r="B13" s="22">
        <v>253</v>
      </c>
      <c r="C13" s="22">
        <v>216</v>
      </c>
      <c r="D13" s="28">
        <v>197</v>
      </c>
      <c r="E13" s="24">
        <f t="shared" si="1"/>
        <v>-56</v>
      </c>
      <c r="F13" s="24">
        <f t="shared" si="2"/>
        <v>-19</v>
      </c>
      <c r="G13" s="26">
        <f t="shared" si="0"/>
        <v>77.86561264822134</v>
      </c>
      <c r="H13" s="29">
        <f t="shared" si="3"/>
        <v>91.20370370370371</v>
      </c>
    </row>
    <row r="14" spans="1:8" ht="18" customHeight="1">
      <c r="A14" s="21" t="s">
        <v>10</v>
      </c>
      <c r="B14" s="22">
        <v>439</v>
      </c>
      <c r="C14" s="22">
        <v>391</v>
      </c>
      <c r="D14" s="28">
        <v>464</v>
      </c>
      <c r="E14" s="24">
        <f t="shared" si="1"/>
        <v>25</v>
      </c>
      <c r="F14" s="24">
        <f t="shared" si="2"/>
        <v>73</v>
      </c>
      <c r="G14" s="26">
        <f t="shared" si="0"/>
        <v>105.69476082004556</v>
      </c>
      <c r="H14" s="29">
        <f t="shared" si="3"/>
        <v>118.67007672634271</v>
      </c>
    </row>
    <row r="15" spans="1:8" ht="18" customHeight="1">
      <c r="A15" s="21" t="s">
        <v>11</v>
      </c>
      <c r="B15" s="22">
        <v>320</v>
      </c>
      <c r="C15" s="22">
        <v>319</v>
      </c>
      <c r="D15" s="28">
        <v>331</v>
      </c>
      <c r="E15" s="24">
        <f t="shared" si="1"/>
        <v>11</v>
      </c>
      <c r="F15" s="24">
        <f t="shared" si="2"/>
        <v>12</v>
      </c>
      <c r="G15" s="26">
        <f t="shared" si="0"/>
        <v>103.4375</v>
      </c>
      <c r="H15" s="29">
        <f t="shared" si="3"/>
        <v>103.76175548589342</v>
      </c>
    </row>
    <row r="16" spans="1:8" ht="18" customHeight="1">
      <c r="A16" s="21" t="s">
        <v>12</v>
      </c>
      <c r="B16" s="22">
        <v>482</v>
      </c>
      <c r="C16" s="22">
        <v>430</v>
      </c>
      <c r="D16" s="28">
        <v>471</v>
      </c>
      <c r="E16" s="24">
        <f t="shared" si="1"/>
        <v>-11</v>
      </c>
      <c r="F16" s="24">
        <f t="shared" si="2"/>
        <v>41</v>
      </c>
      <c r="G16" s="26">
        <f t="shared" si="0"/>
        <v>97.71784232365145</v>
      </c>
      <c r="H16" s="29">
        <f t="shared" si="3"/>
        <v>109.53488372093022</v>
      </c>
    </row>
    <row r="17" spans="1:8" ht="18" customHeight="1">
      <c r="A17" s="21" t="s">
        <v>13</v>
      </c>
      <c r="B17" s="22">
        <v>691</v>
      </c>
      <c r="C17" s="22">
        <v>605</v>
      </c>
      <c r="D17" s="28">
        <v>606</v>
      </c>
      <c r="E17" s="24">
        <f t="shared" si="1"/>
        <v>-85</v>
      </c>
      <c r="F17" s="24">
        <f t="shared" si="2"/>
        <v>1</v>
      </c>
      <c r="G17" s="26">
        <f t="shared" si="0"/>
        <v>87.69898697539797</v>
      </c>
      <c r="H17" s="29">
        <f t="shared" si="3"/>
        <v>100.16528925619835</v>
      </c>
    </row>
    <row r="18" spans="1:8" ht="18" customHeight="1">
      <c r="A18" s="21" t="s">
        <v>14</v>
      </c>
      <c r="B18" s="22">
        <v>2057</v>
      </c>
      <c r="C18" s="22">
        <v>1841</v>
      </c>
      <c r="D18" s="28">
        <v>1501</v>
      </c>
      <c r="E18" s="24">
        <f t="shared" si="1"/>
        <v>-556</v>
      </c>
      <c r="F18" s="24">
        <f t="shared" si="2"/>
        <v>-340</v>
      </c>
      <c r="G18" s="26">
        <f t="shared" si="0"/>
        <v>72.97034516285854</v>
      </c>
      <c r="H18" s="29">
        <f t="shared" si="3"/>
        <v>81.5317762085823</v>
      </c>
    </row>
    <row r="19" spans="1:8" ht="18" customHeight="1">
      <c r="A19" s="21" t="s">
        <v>15</v>
      </c>
      <c r="B19" s="22">
        <v>490</v>
      </c>
      <c r="C19" s="22">
        <v>440</v>
      </c>
      <c r="D19" s="28">
        <v>380</v>
      </c>
      <c r="E19" s="24">
        <f t="shared" si="1"/>
        <v>-110</v>
      </c>
      <c r="F19" s="24">
        <f t="shared" si="2"/>
        <v>-60</v>
      </c>
      <c r="G19" s="26">
        <f t="shared" si="0"/>
        <v>77.55102040816327</v>
      </c>
      <c r="H19" s="29">
        <f t="shared" si="3"/>
        <v>86.36363636363636</v>
      </c>
    </row>
    <row r="20" spans="1:8" ht="18" customHeight="1">
      <c r="A20" s="21" t="s">
        <v>16</v>
      </c>
      <c r="B20" s="22">
        <v>113</v>
      </c>
      <c r="C20" s="22">
        <v>92</v>
      </c>
      <c r="D20" s="28">
        <v>161</v>
      </c>
      <c r="E20" s="24">
        <f t="shared" si="1"/>
        <v>48</v>
      </c>
      <c r="F20" s="24">
        <f t="shared" si="2"/>
        <v>69</v>
      </c>
      <c r="G20" s="26">
        <f t="shared" si="0"/>
        <v>142.47787610619469</v>
      </c>
      <c r="H20" s="29">
        <f t="shared" si="3"/>
        <v>175</v>
      </c>
    </row>
    <row r="21" spans="1:8" ht="18" customHeight="1">
      <c r="A21" s="21" t="s">
        <v>17</v>
      </c>
      <c r="B21" s="22">
        <v>289</v>
      </c>
      <c r="C21" s="22">
        <v>251</v>
      </c>
      <c r="D21" s="28">
        <v>316</v>
      </c>
      <c r="E21" s="24">
        <f t="shared" si="1"/>
        <v>27</v>
      </c>
      <c r="F21" s="24">
        <f t="shared" si="2"/>
        <v>65</v>
      </c>
      <c r="G21" s="26">
        <f t="shared" si="0"/>
        <v>109.34256055363323</v>
      </c>
      <c r="H21" s="29">
        <f t="shared" si="3"/>
        <v>125.89641434262948</v>
      </c>
    </row>
    <row r="22" spans="1:8" ht="18" customHeight="1">
      <c r="A22" s="21" t="s">
        <v>18</v>
      </c>
      <c r="B22" s="22">
        <v>140</v>
      </c>
      <c r="C22" s="22">
        <v>165</v>
      </c>
      <c r="D22" s="28">
        <v>147</v>
      </c>
      <c r="E22" s="24">
        <f t="shared" si="1"/>
        <v>7</v>
      </c>
      <c r="F22" s="24">
        <f t="shared" si="2"/>
        <v>-18</v>
      </c>
      <c r="G22" s="26">
        <f t="shared" si="0"/>
        <v>105</v>
      </c>
      <c r="H22" s="29">
        <f t="shared" si="3"/>
        <v>89.0909090909091</v>
      </c>
    </row>
    <row r="23" spans="1:8" ht="18" customHeight="1">
      <c r="A23" s="21" t="s">
        <v>19</v>
      </c>
      <c r="B23" s="22">
        <v>528</v>
      </c>
      <c r="C23" s="22">
        <v>458</v>
      </c>
      <c r="D23" s="28">
        <v>374</v>
      </c>
      <c r="E23" s="24">
        <f t="shared" si="1"/>
        <v>-154</v>
      </c>
      <c r="F23" s="24">
        <f t="shared" si="2"/>
        <v>-84</v>
      </c>
      <c r="G23" s="26">
        <f t="shared" si="0"/>
        <v>70.83333333333334</v>
      </c>
      <c r="H23" s="29">
        <f t="shared" si="3"/>
        <v>81.6593886462882</v>
      </c>
    </row>
    <row r="24" spans="1:8" ht="18" customHeight="1">
      <c r="A24" s="21" t="s">
        <v>20</v>
      </c>
      <c r="B24" s="22">
        <v>850</v>
      </c>
      <c r="C24" s="22">
        <v>736</v>
      </c>
      <c r="D24" s="28">
        <v>874</v>
      </c>
      <c r="E24" s="24">
        <f t="shared" si="1"/>
        <v>24</v>
      </c>
      <c r="F24" s="24">
        <f t="shared" si="2"/>
        <v>138</v>
      </c>
      <c r="G24" s="26">
        <f t="shared" si="0"/>
        <v>102.82352941176471</v>
      </c>
      <c r="H24" s="29">
        <f t="shared" si="3"/>
        <v>118.75</v>
      </c>
    </row>
    <row r="25" spans="1:8" ht="18" customHeight="1">
      <c r="A25" s="21" t="s">
        <v>21</v>
      </c>
      <c r="B25" s="22">
        <v>216</v>
      </c>
      <c r="C25" s="22">
        <v>181</v>
      </c>
      <c r="D25" s="28">
        <v>265</v>
      </c>
      <c r="E25" s="24">
        <f t="shared" si="1"/>
        <v>49</v>
      </c>
      <c r="F25" s="24">
        <f t="shared" si="2"/>
        <v>84</v>
      </c>
      <c r="G25" s="26">
        <f t="shared" si="0"/>
        <v>122.68518518518519</v>
      </c>
      <c r="H25" s="29">
        <f t="shared" si="3"/>
        <v>146.40883977900552</v>
      </c>
    </row>
    <row r="26" spans="1:8" ht="18" customHeight="1">
      <c r="A26" s="21" t="s">
        <v>22</v>
      </c>
      <c r="B26" s="22">
        <v>291</v>
      </c>
      <c r="C26" s="22">
        <v>254</v>
      </c>
      <c r="D26" s="28">
        <v>164</v>
      </c>
      <c r="E26" s="24">
        <f t="shared" si="1"/>
        <v>-127</v>
      </c>
      <c r="F26" s="24">
        <f t="shared" si="2"/>
        <v>-90</v>
      </c>
      <c r="G26" s="26">
        <f t="shared" si="0"/>
        <v>56.3573883161512</v>
      </c>
      <c r="H26" s="29">
        <f t="shared" si="3"/>
        <v>64.56692913385827</v>
      </c>
    </row>
    <row r="27" spans="1:8" ht="18" customHeight="1">
      <c r="A27" s="21" t="s">
        <v>23</v>
      </c>
      <c r="B27" s="22">
        <v>465</v>
      </c>
      <c r="C27" s="22">
        <v>407</v>
      </c>
      <c r="D27" s="28">
        <v>468</v>
      </c>
      <c r="E27" s="24">
        <f t="shared" si="1"/>
        <v>3</v>
      </c>
      <c r="F27" s="24">
        <f t="shared" si="2"/>
        <v>61</v>
      </c>
      <c r="G27" s="26">
        <f t="shared" si="0"/>
        <v>100.64516129032258</v>
      </c>
      <c r="H27" s="29">
        <f t="shared" si="3"/>
        <v>114.98771498771498</v>
      </c>
    </row>
    <row r="28" spans="1:8" ht="18" customHeight="1">
      <c r="A28" s="21" t="s">
        <v>24</v>
      </c>
      <c r="B28" s="22">
        <v>393</v>
      </c>
      <c r="C28" s="22">
        <v>362</v>
      </c>
      <c r="D28" s="28">
        <v>414</v>
      </c>
      <c r="E28" s="24">
        <f t="shared" si="1"/>
        <v>21</v>
      </c>
      <c r="F28" s="24">
        <f t="shared" si="2"/>
        <v>52</v>
      </c>
      <c r="G28" s="26">
        <f t="shared" si="0"/>
        <v>105.34351145038168</v>
      </c>
      <c r="H28" s="29">
        <f t="shared" si="3"/>
        <v>114.36464088397791</v>
      </c>
    </row>
    <row r="29" spans="1:8" ht="18" customHeight="1">
      <c r="A29" s="21" t="s">
        <v>25</v>
      </c>
      <c r="B29" s="22">
        <v>848</v>
      </c>
      <c r="C29" s="22">
        <v>770</v>
      </c>
      <c r="D29" s="28">
        <v>1005</v>
      </c>
      <c r="E29" s="24">
        <f t="shared" si="1"/>
        <v>157</v>
      </c>
      <c r="F29" s="24">
        <f t="shared" si="2"/>
        <v>235</v>
      </c>
      <c r="G29" s="26">
        <f t="shared" si="0"/>
        <v>118.51415094339623</v>
      </c>
      <c r="H29" s="29">
        <f t="shared" si="3"/>
        <v>130.5194805194805</v>
      </c>
    </row>
    <row r="30" spans="1:8" ht="18" customHeight="1">
      <c r="A30" s="21" t="s">
        <v>26</v>
      </c>
      <c r="B30" s="22">
        <v>935</v>
      </c>
      <c r="C30" s="22">
        <v>809</v>
      </c>
      <c r="D30" s="28">
        <v>702</v>
      </c>
      <c r="E30" s="24">
        <f t="shared" si="1"/>
        <v>-233</v>
      </c>
      <c r="F30" s="24">
        <f t="shared" si="2"/>
        <v>-107</v>
      </c>
      <c r="G30" s="26">
        <f t="shared" si="0"/>
        <v>75.08021390374331</v>
      </c>
      <c r="H30" s="29">
        <f t="shared" si="3"/>
        <v>86.77379480840544</v>
      </c>
    </row>
    <row r="31" spans="1:8" ht="18" customHeight="1">
      <c r="A31" s="21" t="s">
        <v>27</v>
      </c>
      <c r="B31" s="22">
        <v>146</v>
      </c>
      <c r="C31" s="22">
        <v>115</v>
      </c>
      <c r="D31" s="28">
        <v>83</v>
      </c>
      <c r="E31" s="24">
        <f t="shared" si="1"/>
        <v>-63</v>
      </c>
      <c r="F31" s="24">
        <f t="shared" si="2"/>
        <v>-32</v>
      </c>
      <c r="G31" s="26">
        <f t="shared" si="0"/>
        <v>56.849315068493155</v>
      </c>
      <c r="H31" s="29">
        <f t="shared" si="3"/>
        <v>72.17391304347827</v>
      </c>
    </row>
    <row r="32" spans="1:8" ht="18" customHeight="1">
      <c r="A32" s="21" t="s">
        <v>28</v>
      </c>
      <c r="B32" s="22">
        <v>292</v>
      </c>
      <c r="C32" s="22">
        <v>272</v>
      </c>
      <c r="D32" s="28">
        <v>405</v>
      </c>
      <c r="E32" s="24">
        <f t="shared" si="1"/>
        <v>113</v>
      </c>
      <c r="F32" s="24">
        <f t="shared" si="2"/>
        <v>133</v>
      </c>
      <c r="G32" s="26">
        <f t="shared" si="0"/>
        <v>138.6986301369863</v>
      </c>
      <c r="H32" s="29">
        <f t="shared" si="3"/>
        <v>148.89705882352942</v>
      </c>
    </row>
    <row r="33" spans="1:8" ht="18" customHeight="1">
      <c r="A33" s="21" t="s">
        <v>29</v>
      </c>
      <c r="B33" s="22">
        <v>337</v>
      </c>
      <c r="C33" s="22">
        <v>310</v>
      </c>
      <c r="D33" s="28">
        <v>233</v>
      </c>
      <c r="E33" s="24">
        <f t="shared" si="1"/>
        <v>-104</v>
      </c>
      <c r="F33" s="24">
        <f t="shared" si="2"/>
        <v>-77</v>
      </c>
      <c r="G33" s="26">
        <f t="shared" si="0"/>
        <v>69.13946587537092</v>
      </c>
      <c r="H33" s="29">
        <f t="shared" si="3"/>
        <v>75.16129032258064</v>
      </c>
    </row>
    <row r="34" spans="1:8" ht="18" customHeight="1">
      <c r="A34" s="21" t="s">
        <v>30</v>
      </c>
      <c r="B34" s="22">
        <v>390</v>
      </c>
      <c r="C34" s="22">
        <v>334</v>
      </c>
      <c r="D34" s="28">
        <v>358</v>
      </c>
      <c r="E34" s="24">
        <f t="shared" si="1"/>
        <v>-32</v>
      </c>
      <c r="F34" s="24">
        <f t="shared" si="2"/>
        <v>24</v>
      </c>
      <c r="G34" s="26">
        <f t="shared" si="0"/>
        <v>91.7948717948718</v>
      </c>
      <c r="H34" s="29">
        <f t="shared" si="3"/>
        <v>107.18562874251496</v>
      </c>
    </row>
    <row r="35" spans="1:8" ht="18" customHeight="1">
      <c r="A35" s="21" t="s">
        <v>31</v>
      </c>
      <c r="B35" s="22">
        <v>597</v>
      </c>
      <c r="C35" s="22">
        <v>555</v>
      </c>
      <c r="D35" s="28">
        <v>577</v>
      </c>
      <c r="E35" s="24">
        <f t="shared" si="1"/>
        <v>-20</v>
      </c>
      <c r="F35" s="24">
        <f t="shared" si="2"/>
        <v>22</v>
      </c>
      <c r="G35" s="26">
        <f t="shared" si="0"/>
        <v>96.64991624790619</v>
      </c>
      <c r="H35" s="29">
        <f t="shared" si="3"/>
        <v>103.96396396396396</v>
      </c>
    </row>
    <row r="36" spans="1:8" ht="18" customHeight="1">
      <c r="A36" s="21" t="s">
        <v>32</v>
      </c>
      <c r="B36" s="22">
        <v>197</v>
      </c>
      <c r="C36" s="22">
        <v>163</v>
      </c>
      <c r="D36" s="28">
        <v>202</v>
      </c>
      <c r="E36" s="24">
        <f t="shared" si="1"/>
        <v>5</v>
      </c>
      <c r="F36" s="24">
        <f t="shared" si="2"/>
        <v>39</v>
      </c>
      <c r="G36" s="26">
        <f t="shared" si="0"/>
        <v>102.53807106598984</v>
      </c>
      <c r="H36" s="29">
        <f t="shared" si="3"/>
        <v>123.92638036809815</v>
      </c>
    </row>
    <row r="37" spans="1:8" ht="18" customHeight="1">
      <c r="A37" s="21" t="s">
        <v>47</v>
      </c>
      <c r="B37" s="22">
        <v>726</v>
      </c>
      <c r="C37" s="22">
        <v>731</v>
      </c>
      <c r="D37" s="28">
        <v>571</v>
      </c>
      <c r="E37" s="24">
        <f t="shared" si="1"/>
        <v>-155</v>
      </c>
      <c r="F37" s="24">
        <f t="shared" si="2"/>
        <v>-160</v>
      </c>
      <c r="G37" s="26">
        <f t="shared" si="0"/>
        <v>78.65013774104683</v>
      </c>
      <c r="H37" s="29">
        <f t="shared" si="3"/>
        <v>78.11217510259918</v>
      </c>
    </row>
    <row r="38" spans="1:8" ht="18" customHeight="1">
      <c r="A38" s="21" t="s">
        <v>34</v>
      </c>
      <c r="B38" s="22">
        <v>648</v>
      </c>
      <c r="C38" s="22">
        <v>565</v>
      </c>
      <c r="D38" s="28">
        <v>632</v>
      </c>
      <c r="E38" s="24">
        <f t="shared" si="1"/>
        <v>-16</v>
      </c>
      <c r="F38" s="24">
        <f t="shared" si="2"/>
        <v>67</v>
      </c>
      <c r="G38" s="26">
        <f t="shared" si="0"/>
        <v>97.53086419753086</v>
      </c>
      <c r="H38" s="29">
        <f t="shared" si="3"/>
        <v>111.85840707964603</v>
      </c>
    </row>
    <row r="39" spans="1:8" ht="18" customHeight="1">
      <c r="A39" s="21" t="s">
        <v>35</v>
      </c>
      <c r="B39" s="22">
        <v>88</v>
      </c>
      <c r="C39" s="22">
        <v>78</v>
      </c>
      <c r="D39" s="28">
        <v>52</v>
      </c>
      <c r="E39" s="24">
        <f t="shared" si="1"/>
        <v>-36</v>
      </c>
      <c r="F39" s="24">
        <f t="shared" si="2"/>
        <v>-26</v>
      </c>
      <c r="G39" s="26">
        <f t="shared" si="0"/>
        <v>59.09090909090909</v>
      </c>
      <c r="H39" s="29">
        <f t="shared" si="3"/>
        <v>66.66666666666666</v>
      </c>
    </row>
    <row r="40" spans="1:8" ht="18" customHeight="1">
      <c r="A40" s="21" t="s">
        <v>36</v>
      </c>
      <c r="B40" s="22">
        <v>352</v>
      </c>
      <c r="C40" s="22">
        <v>286</v>
      </c>
      <c r="D40" s="28">
        <v>164</v>
      </c>
      <c r="E40" s="24">
        <f t="shared" si="1"/>
        <v>-188</v>
      </c>
      <c r="F40" s="24">
        <f t="shared" si="2"/>
        <v>-122</v>
      </c>
      <c r="G40" s="26">
        <f t="shared" si="0"/>
        <v>46.590909090909086</v>
      </c>
      <c r="H40" s="29">
        <f t="shared" si="3"/>
        <v>57.34265734265735</v>
      </c>
    </row>
    <row r="41" spans="1:8" ht="18" customHeight="1">
      <c r="A41" s="21" t="s">
        <v>37</v>
      </c>
      <c r="B41" s="22">
        <v>334</v>
      </c>
      <c r="C41" s="22">
        <v>280</v>
      </c>
      <c r="D41" s="28">
        <v>165</v>
      </c>
      <c r="E41" s="24">
        <f t="shared" si="1"/>
        <v>-169</v>
      </c>
      <c r="F41" s="24">
        <f t="shared" si="2"/>
        <v>-115</v>
      </c>
      <c r="G41" s="26">
        <f t="shared" si="0"/>
        <v>49.40119760479042</v>
      </c>
      <c r="H41" s="29">
        <f t="shared" si="3"/>
        <v>58.92857142857143</v>
      </c>
    </row>
    <row r="42" spans="1:8" ht="18" customHeight="1">
      <c r="A42" s="21" t="s">
        <v>38</v>
      </c>
      <c r="B42" s="22">
        <v>1965</v>
      </c>
      <c r="C42" s="22">
        <v>1621</v>
      </c>
      <c r="D42" s="28">
        <v>1366</v>
      </c>
      <c r="E42" s="24">
        <f t="shared" si="1"/>
        <v>-599</v>
      </c>
      <c r="F42" s="24">
        <f t="shared" si="2"/>
        <v>-255</v>
      </c>
      <c r="G42" s="26">
        <f t="shared" si="0"/>
        <v>69.51653944020356</v>
      </c>
      <c r="H42" s="29">
        <f t="shared" si="3"/>
        <v>84.26896977174584</v>
      </c>
    </row>
    <row r="43" spans="1:8" ht="18" customHeight="1">
      <c r="A43" s="21" t="s">
        <v>39</v>
      </c>
      <c r="B43" s="22">
        <v>648</v>
      </c>
      <c r="C43" s="22">
        <v>570</v>
      </c>
      <c r="D43" s="28">
        <v>864</v>
      </c>
      <c r="E43" s="24">
        <f t="shared" si="1"/>
        <v>216</v>
      </c>
      <c r="F43" s="24">
        <f t="shared" si="2"/>
        <v>294</v>
      </c>
      <c r="G43" s="26">
        <f t="shared" si="0"/>
        <v>133.33333333333331</v>
      </c>
      <c r="H43" s="29">
        <f t="shared" si="3"/>
        <v>151.57894736842107</v>
      </c>
    </row>
    <row r="44" spans="1:8" ht="18" customHeight="1">
      <c r="A44" s="21" t="s">
        <v>40</v>
      </c>
      <c r="B44" s="22">
        <v>559</v>
      </c>
      <c r="C44" s="22">
        <v>478</v>
      </c>
      <c r="D44" s="28">
        <v>377</v>
      </c>
      <c r="E44" s="24">
        <f t="shared" si="1"/>
        <v>-182</v>
      </c>
      <c r="F44" s="24">
        <f t="shared" si="2"/>
        <v>-101</v>
      </c>
      <c r="G44" s="26">
        <f t="shared" si="0"/>
        <v>67.44186046511628</v>
      </c>
      <c r="H44" s="29">
        <f t="shared" si="3"/>
        <v>78.8702928870293</v>
      </c>
    </row>
    <row r="45" spans="1:8" ht="18" customHeight="1">
      <c r="A45" s="21" t="s">
        <v>41</v>
      </c>
      <c r="B45" s="22">
        <v>702</v>
      </c>
      <c r="C45" s="22">
        <v>613</v>
      </c>
      <c r="D45" s="28">
        <v>438</v>
      </c>
      <c r="E45" s="24">
        <f t="shared" si="1"/>
        <v>-264</v>
      </c>
      <c r="F45" s="24">
        <f t="shared" si="2"/>
        <v>-175</v>
      </c>
      <c r="G45" s="26">
        <f t="shared" si="0"/>
        <v>62.39316239316239</v>
      </c>
      <c r="H45" s="29">
        <f t="shared" si="3"/>
        <v>71.45187601957585</v>
      </c>
    </row>
    <row r="46" spans="1:8" ht="18" customHeight="1">
      <c r="A46" s="21" t="s">
        <v>42</v>
      </c>
      <c r="B46" s="22">
        <v>191</v>
      </c>
      <c r="C46" s="22">
        <v>157</v>
      </c>
      <c r="D46" s="28">
        <v>187</v>
      </c>
      <c r="E46" s="24">
        <f t="shared" si="1"/>
        <v>-4</v>
      </c>
      <c r="F46" s="24">
        <f t="shared" si="2"/>
        <v>30</v>
      </c>
      <c r="G46" s="26">
        <f t="shared" si="0"/>
        <v>97.90575916230367</v>
      </c>
      <c r="H46" s="29">
        <f t="shared" si="3"/>
        <v>119.10828025477707</v>
      </c>
    </row>
    <row r="47" spans="1:8" ht="18" customHeight="1">
      <c r="A47" s="30" t="s">
        <v>43</v>
      </c>
      <c r="B47" s="31">
        <v>21125</v>
      </c>
      <c r="C47" s="31">
        <v>18655</v>
      </c>
      <c r="D47" s="31">
        <v>18430</v>
      </c>
      <c r="E47" s="32">
        <f t="shared" si="1"/>
        <v>-2695</v>
      </c>
      <c r="F47" s="32">
        <f t="shared" si="2"/>
        <v>-225</v>
      </c>
      <c r="G47" s="34">
        <f t="shared" si="0"/>
        <v>87.24260355029585</v>
      </c>
      <c r="H47" s="34">
        <f t="shared" si="3"/>
        <v>98.79388903779147</v>
      </c>
    </row>
    <row r="48" spans="1:8" ht="18" customHeight="1">
      <c r="A48" s="35" t="s">
        <v>51</v>
      </c>
      <c r="B48" s="36">
        <v>24226</v>
      </c>
      <c r="C48" s="36">
        <v>22210</v>
      </c>
      <c r="D48" s="36">
        <v>22605</v>
      </c>
      <c r="E48" s="32">
        <f t="shared" si="1"/>
        <v>-1621</v>
      </c>
      <c r="F48" s="32">
        <f t="shared" si="2"/>
        <v>395</v>
      </c>
      <c r="G48" s="34">
        <f t="shared" si="0"/>
        <v>93.30884174027904</v>
      </c>
      <c r="H48" s="29">
        <f t="shared" si="3"/>
        <v>101.77847816298964</v>
      </c>
    </row>
    <row r="49" spans="1:8" ht="18" customHeight="1">
      <c r="A49" s="35" t="s">
        <v>52</v>
      </c>
      <c r="B49" s="36">
        <v>2325</v>
      </c>
      <c r="C49" s="36">
        <v>2230</v>
      </c>
      <c r="D49" s="36">
        <v>2306</v>
      </c>
      <c r="E49" s="32">
        <f t="shared" si="1"/>
        <v>-19</v>
      </c>
      <c r="F49" s="32">
        <f t="shared" si="2"/>
        <v>76</v>
      </c>
      <c r="G49" s="26">
        <f t="shared" si="0"/>
        <v>99.18279569892474</v>
      </c>
      <c r="H49" s="34">
        <f t="shared" si="3"/>
        <v>103.40807174887891</v>
      </c>
    </row>
    <row r="50" spans="1:8" ht="18" customHeight="1">
      <c r="A50" s="35" t="s">
        <v>48</v>
      </c>
      <c r="B50" s="39">
        <v>0</v>
      </c>
      <c r="C50" s="39">
        <v>-111</v>
      </c>
      <c r="D50" s="39">
        <v>-125</v>
      </c>
      <c r="E50" s="32">
        <f t="shared" si="1"/>
        <v>-125</v>
      </c>
      <c r="F50" s="32">
        <f t="shared" si="2"/>
        <v>-14</v>
      </c>
      <c r="G50" s="44" t="s">
        <v>53</v>
      </c>
      <c r="H50" s="34">
        <f t="shared" si="3"/>
        <v>112.61261261261262</v>
      </c>
    </row>
    <row r="51" spans="1:8" ht="18" customHeight="1">
      <c r="A51" s="38" t="s">
        <v>54</v>
      </c>
      <c r="B51" s="45">
        <f>SUM(B47:B50)</f>
        <v>47676</v>
      </c>
      <c r="C51" s="45">
        <v>42984</v>
      </c>
      <c r="D51" s="45">
        <v>43216</v>
      </c>
      <c r="E51" s="32">
        <f t="shared" si="1"/>
        <v>-4460</v>
      </c>
      <c r="F51" s="32">
        <f t="shared" si="2"/>
        <v>232</v>
      </c>
      <c r="G51" s="34">
        <f>+D51/B51*100</f>
        <v>90.64518835472775</v>
      </c>
      <c r="H51" s="34">
        <f t="shared" si="3"/>
        <v>100.53973571561512</v>
      </c>
    </row>
    <row r="53" ht="18" customHeight="1">
      <c r="C53" s="23"/>
    </row>
  </sheetData>
  <sheetProtection/>
  <mergeCells count="8">
    <mergeCell ref="H7:H9"/>
    <mergeCell ref="E8:E9"/>
    <mergeCell ref="F8:F9"/>
    <mergeCell ref="A7:A9"/>
    <mergeCell ref="B7:B9"/>
    <mergeCell ref="C7:D8"/>
    <mergeCell ref="E7:F7"/>
    <mergeCell ref="G7:G9"/>
  </mergeCells>
  <printOptions horizontalCentered="1" verticalCentered="1"/>
  <pageMargins left="0.3937007874015748" right="0.3937007874015748" top="0.8661417322834646" bottom="0.8661417322834646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52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26.28125" style="9" customWidth="1"/>
    <col min="2" max="2" width="15.57421875" style="9" customWidth="1"/>
    <col min="3" max="4" width="12.7109375" style="9" customWidth="1"/>
    <col min="5" max="6" width="10.57421875" style="9" customWidth="1"/>
    <col min="7" max="16384" width="9.140625" style="9" customWidth="1"/>
  </cols>
  <sheetData>
    <row r="3" spans="1:6" ht="15.75">
      <c r="A3" s="46" t="s">
        <v>0</v>
      </c>
      <c r="B3" s="46"/>
      <c r="C3" s="46"/>
      <c r="D3" s="46"/>
      <c r="E3" s="46"/>
      <c r="F3" s="46"/>
    </row>
    <row r="4" spans="1:6" ht="18" customHeight="1">
      <c r="A4" s="9" t="s">
        <v>64</v>
      </c>
      <c r="B4" s="46"/>
      <c r="C4" s="46"/>
      <c r="D4" s="46"/>
      <c r="E4" s="46"/>
      <c r="F4" s="46"/>
    </row>
    <row r="5" ht="13.5" customHeight="1">
      <c r="A5" s="9" t="s">
        <v>63</v>
      </c>
    </row>
    <row r="6" ht="13.5" customHeight="1"/>
    <row r="7" ht="13.5" customHeight="1"/>
    <row r="8" ht="13.5" customHeight="1">
      <c r="F8" s="47" t="s">
        <v>1</v>
      </c>
    </row>
    <row r="9" spans="1:6" ht="18.75" customHeight="1">
      <c r="A9" s="249" t="s">
        <v>2</v>
      </c>
      <c r="B9" s="257" t="s">
        <v>3</v>
      </c>
      <c r="C9" s="258"/>
      <c r="D9" s="258"/>
      <c r="E9" s="258"/>
      <c r="F9" s="259"/>
    </row>
    <row r="10" spans="1:6" ht="18.75" customHeight="1">
      <c r="A10" s="250"/>
      <c r="B10" s="251" t="s">
        <v>4</v>
      </c>
      <c r="C10" s="253" t="s">
        <v>61</v>
      </c>
      <c r="D10" s="254"/>
      <c r="E10" s="246" t="s">
        <v>5</v>
      </c>
      <c r="F10" s="247"/>
    </row>
    <row r="11" spans="1:6" ht="13.5" customHeight="1">
      <c r="A11" s="250"/>
      <c r="B11" s="251"/>
      <c r="C11" s="255"/>
      <c r="D11" s="256"/>
      <c r="E11" s="233" t="s">
        <v>56</v>
      </c>
      <c r="F11" s="233" t="s">
        <v>57</v>
      </c>
    </row>
    <row r="12" spans="1:6" ht="18.75" customHeight="1">
      <c r="A12" s="250"/>
      <c r="B12" s="252"/>
      <c r="C12" s="48">
        <v>2011</v>
      </c>
      <c r="D12" s="48">
        <v>2012</v>
      </c>
      <c r="E12" s="234"/>
      <c r="F12" s="234"/>
    </row>
    <row r="13" spans="1:6" ht="18" customHeight="1">
      <c r="A13" s="49" t="s">
        <v>6</v>
      </c>
      <c r="B13" s="50">
        <v>1</v>
      </c>
      <c r="C13" s="50">
        <v>2</v>
      </c>
      <c r="D13" s="50">
        <v>3</v>
      </c>
      <c r="E13" s="50">
        <v>4</v>
      </c>
      <c r="F13" s="50">
        <v>5</v>
      </c>
    </row>
    <row r="14" spans="1:6" ht="18" customHeight="1">
      <c r="A14" s="51" t="s">
        <v>7</v>
      </c>
      <c r="B14" s="24">
        <v>214</v>
      </c>
      <c r="C14" s="24">
        <v>560</v>
      </c>
      <c r="D14" s="24">
        <v>905</v>
      </c>
      <c r="E14" s="52">
        <f>+D14-B14</f>
        <v>691</v>
      </c>
      <c r="F14" s="53">
        <f>+D14-C14</f>
        <v>345</v>
      </c>
    </row>
    <row r="15" spans="1:6" ht="18" customHeight="1">
      <c r="A15" s="51" t="s">
        <v>8</v>
      </c>
      <c r="B15" s="24">
        <v>28</v>
      </c>
      <c r="C15" s="24">
        <v>66</v>
      </c>
      <c r="D15" s="24">
        <v>31</v>
      </c>
      <c r="E15" s="24">
        <f aca="true" t="shared" si="0" ref="E15:E52">+D15-B15</f>
        <v>3</v>
      </c>
      <c r="F15" s="54">
        <f aca="true" t="shared" si="1" ref="F15:F52">+D15-C15</f>
        <v>-35</v>
      </c>
    </row>
    <row r="16" spans="1:6" ht="18" customHeight="1">
      <c r="A16" s="51" t="s">
        <v>9</v>
      </c>
      <c r="B16" s="24">
        <v>78</v>
      </c>
      <c r="C16" s="24">
        <v>192</v>
      </c>
      <c r="D16" s="24">
        <v>322</v>
      </c>
      <c r="E16" s="24">
        <f t="shared" si="0"/>
        <v>244</v>
      </c>
      <c r="F16" s="54">
        <f t="shared" si="1"/>
        <v>130</v>
      </c>
    </row>
    <row r="17" spans="1:6" ht="18" customHeight="1">
      <c r="A17" s="51" t="s">
        <v>10</v>
      </c>
      <c r="B17" s="24">
        <v>38</v>
      </c>
      <c r="C17" s="24">
        <v>79</v>
      </c>
      <c r="D17" s="24">
        <v>37</v>
      </c>
      <c r="E17" s="24">
        <f t="shared" si="0"/>
        <v>-1</v>
      </c>
      <c r="F17" s="54">
        <f t="shared" si="1"/>
        <v>-42</v>
      </c>
    </row>
    <row r="18" spans="1:6" ht="18" customHeight="1">
      <c r="A18" s="51" t="s">
        <v>11</v>
      </c>
      <c r="B18" s="24">
        <v>88</v>
      </c>
      <c r="C18" s="24">
        <v>220</v>
      </c>
      <c r="D18" s="24">
        <v>4</v>
      </c>
      <c r="E18" s="24">
        <f t="shared" si="0"/>
        <v>-84</v>
      </c>
      <c r="F18" s="54">
        <f t="shared" si="1"/>
        <v>-216</v>
      </c>
    </row>
    <row r="19" spans="1:6" ht="18" customHeight="1">
      <c r="A19" s="51" t="s">
        <v>12</v>
      </c>
      <c r="B19" s="24">
        <v>18</v>
      </c>
      <c r="C19" s="24">
        <v>46</v>
      </c>
      <c r="D19" s="24">
        <v>52</v>
      </c>
      <c r="E19" s="24">
        <f t="shared" si="0"/>
        <v>34</v>
      </c>
      <c r="F19" s="54">
        <f t="shared" si="1"/>
        <v>6</v>
      </c>
    </row>
    <row r="20" spans="1:6" ht="18" customHeight="1">
      <c r="A20" s="51" t="s">
        <v>13</v>
      </c>
      <c r="B20" s="24">
        <v>29</v>
      </c>
      <c r="C20" s="24">
        <v>74</v>
      </c>
      <c r="D20" s="24">
        <v>639</v>
      </c>
      <c r="E20" s="24">
        <f t="shared" si="0"/>
        <v>610</v>
      </c>
      <c r="F20" s="54">
        <f t="shared" si="1"/>
        <v>565</v>
      </c>
    </row>
    <row r="21" spans="1:6" ht="18" customHeight="1">
      <c r="A21" s="51" t="s">
        <v>14</v>
      </c>
      <c r="B21" s="24">
        <v>144</v>
      </c>
      <c r="C21" s="24">
        <v>348</v>
      </c>
      <c r="D21" s="24">
        <v>20</v>
      </c>
      <c r="E21" s="24">
        <f t="shared" si="0"/>
        <v>-124</v>
      </c>
      <c r="F21" s="54">
        <f t="shared" si="1"/>
        <v>-328</v>
      </c>
    </row>
    <row r="22" spans="1:6" ht="18" customHeight="1">
      <c r="A22" s="51" t="s">
        <v>15</v>
      </c>
      <c r="B22" s="24">
        <v>135</v>
      </c>
      <c r="C22" s="24">
        <v>484</v>
      </c>
      <c r="D22" s="24">
        <v>576</v>
      </c>
      <c r="E22" s="24">
        <f t="shared" si="0"/>
        <v>441</v>
      </c>
      <c r="F22" s="54">
        <f t="shared" si="1"/>
        <v>92</v>
      </c>
    </row>
    <row r="23" spans="1:6" ht="18" customHeight="1">
      <c r="A23" s="51" t="s">
        <v>16</v>
      </c>
      <c r="B23" s="24">
        <v>2</v>
      </c>
      <c r="C23" s="24">
        <v>3</v>
      </c>
      <c r="D23" s="24">
        <v>6</v>
      </c>
      <c r="E23" s="24">
        <f t="shared" si="0"/>
        <v>4</v>
      </c>
      <c r="F23" s="54">
        <f t="shared" si="1"/>
        <v>3</v>
      </c>
    </row>
    <row r="24" spans="1:6" ht="18" customHeight="1">
      <c r="A24" s="51" t="s">
        <v>17</v>
      </c>
      <c r="B24" s="24">
        <v>307</v>
      </c>
      <c r="C24" s="24">
        <v>715</v>
      </c>
      <c r="D24" s="24">
        <v>141</v>
      </c>
      <c r="E24" s="24">
        <f t="shared" si="0"/>
        <v>-166</v>
      </c>
      <c r="F24" s="54">
        <f t="shared" si="1"/>
        <v>-574</v>
      </c>
    </row>
    <row r="25" spans="1:6" ht="18" customHeight="1">
      <c r="A25" s="51" t="s">
        <v>18</v>
      </c>
      <c r="B25" s="24">
        <v>6</v>
      </c>
      <c r="C25" s="24">
        <v>11</v>
      </c>
      <c r="D25" s="24">
        <v>96</v>
      </c>
      <c r="E25" s="24">
        <f t="shared" si="0"/>
        <v>90</v>
      </c>
      <c r="F25" s="54">
        <f t="shared" si="1"/>
        <v>85</v>
      </c>
    </row>
    <row r="26" spans="1:6" ht="18" customHeight="1">
      <c r="A26" s="51" t="s">
        <v>19</v>
      </c>
      <c r="B26" s="24">
        <v>191</v>
      </c>
      <c r="C26" s="24">
        <v>644</v>
      </c>
      <c r="D26" s="24">
        <v>605</v>
      </c>
      <c r="E26" s="24">
        <f t="shared" si="0"/>
        <v>414</v>
      </c>
      <c r="F26" s="54">
        <f t="shared" si="1"/>
        <v>-39</v>
      </c>
    </row>
    <row r="27" spans="1:6" ht="18" customHeight="1">
      <c r="A27" s="51" t="s">
        <v>20</v>
      </c>
      <c r="B27" s="24">
        <v>89</v>
      </c>
      <c r="C27" s="24">
        <v>201</v>
      </c>
      <c r="D27" s="24">
        <v>161</v>
      </c>
      <c r="E27" s="24">
        <f t="shared" si="0"/>
        <v>72</v>
      </c>
      <c r="F27" s="54">
        <f t="shared" si="1"/>
        <v>-40</v>
      </c>
    </row>
    <row r="28" spans="1:6" ht="18" customHeight="1">
      <c r="A28" s="51" t="s">
        <v>21</v>
      </c>
      <c r="B28" s="24">
        <v>2</v>
      </c>
      <c r="C28" s="24">
        <v>23</v>
      </c>
      <c r="D28" s="24">
        <v>23</v>
      </c>
      <c r="E28" s="24">
        <f t="shared" si="0"/>
        <v>21</v>
      </c>
      <c r="F28" s="54">
        <f t="shared" si="1"/>
        <v>0</v>
      </c>
    </row>
    <row r="29" spans="1:6" ht="18" customHeight="1">
      <c r="A29" s="51" t="s">
        <v>22</v>
      </c>
      <c r="B29" s="24">
        <v>114</v>
      </c>
      <c r="C29" s="24">
        <v>538</v>
      </c>
      <c r="D29" s="24">
        <v>15</v>
      </c>
      <c r="E29" s="24">
        <f t="shared" si="0"/>
        <v>-99</v>
      </c>
      <c r="F29" s="54">
        <f t="shared" si="1"/>
        <v>-523</v>
      </c>
    </row>
    <row r="30" spans="1:6" ht="18" customHeight="1">
      <c r="A30" s="51" t="s">
        <v>23</v>
      </c>
      <c r="B30" s="24">
        <v>49</v>
      </c>
      <c r="C30" s="24">
        <v>111</v>
      </c>
      <c r="D30" s="24">
        <v>204</v>
      </c>
      <c r="E30" s="24">
        <f t="shared" si="0"/>
        <v>155</v>
      </c>
      <c r="F30" s="54">
        <f t="shared" si="1"/>
        <v>93</v>
      </c>
    </row>
    <row r="31" spans="1:6" ht="18" customHeight="1">
      <c r="A31" s="51" t="s">
        <v>24</v>
      </c>
      <c r="B31" s="24">
        <v>94</v>
      </c>
      <c r="C31" s="24">
        <v>329</v>
      </c>
      <c r="D31" s="24">
        <v>413</v>
      </c>
      <c r="E31" s="24">
        <f t="shared" si="0"/>
        <v>319</v>
      </c>
      <c r="F31" s="54">
        <f t="shared" si="1"/>
        <v>84</v>
      </c>
    </row>
    <row r="32" spans="1:6" ht="18" customHeight="1">
      <c r="A32" s="51" t="s">
        <v>25</v>
      </c>
      <c r="B32" s="24">
        <v>86</v>
      </c>
      <c r="C32" s="24">
        <v>260</v>
      </c>
      <c r="D32" s="24">
        <v>153</v>
      </c>
      <c r="E32" s="24">
        <f t="shared" si="0"/>
        <v>67</v>
      </c>
      <c r="F32" s="54">
        <f t="shared" si="1"/>
        <v>-107</v>
      </c>
    </row>
    <row r="33" spans="1:6" ht="18" customHeight="1">
      <c r="A33" s="51" t="s">
        <v>26</v>
      </c>
      <c r="B33" s="24">
        <v>2</v>
      </c>
      <c r="C33" s="24">
        <v>0</v>
      </c>
      <c r="D33" s="24">
        <v>722</v>
      </c>
      <c r="E33" s="24">
        <f t="shared" si="0"/>
        <v>720</v>
      </c>
      <c r="F33" s="54">
        <f t="shared" si="1"/>
        <v>722</v>
      </c>
    </row>
    <row r="34" spans="1:6" ht="18" customHeight="1">
      <c r="A34" s="51" t="s">
        <v>27</v>
      </c>
      <c r="B34" s="24">
        <v>19</v>
      </c>
      <c r="C34" s="24">
        <v>49</v>
      </c>
      <c r="D34" s="24">
        <v>0</v>
      </c>
      <c r="E34" s="24">
        <f t="shared" si="0"/>
        <v>-19</v>
      </c>
      <c r="F34" s="54">
        <f t="shared" si="1"/>
        <v>-49</v>
      </c>
    </row>
    <row r="35" spans="1:6" ht="18" customHeight="1">
      <c r="A35" s="51" t="s">
        <v>28</v>
      </c>
      <c r="B35" s="24">
        <v>22</v>
      </c>
      <c r="C35" s="24">
        <v>76</v>
      </c>
      <c r="D35" s="24">
        <v>61</v>
      </c>
      <c r="E35" s="24">
        <f t="shared" si="0"/>
        <v>39</v>
      </c>
      <c r="F35" s="54">
        <f t="shared" si="1"/>
        <v>-15</v>
      </c>
    </row>
    <row r="36" spans="1:6" ht="18" customHeight="1">
      <c r="A36" s="51" t="s">
        <v>29</v>
      </c>
      <c r="B36" s="24">
        <v>17</v>
      </c>
      <c r="C36" s="24">
        <v>45</v>
      </c>
      <c r="D36" s="24">
        <v>4</v>
      </c>
      <c r="E36" s="24">
        <f t="shared" si="0"/>
        <v>-13</v>
      </c>
      <c r="F36" s="54">
        <f t="shared" si="1"/>
        <v>-41</v>
      </c>
    </row>
    <row r="37" spans="1:6" ht="18" customHeight="1">
      <c r="A37" s="51" t="s">
        <v>30</v>
      </c>
      <c r="B37" s="24">
        <v>14</v>
      </c>
      <c r="C37" s="24">
        <v>45</v>
      </c>
      <c r="D37" s="24">
        <v>45</v>
      </c>
      <c r="E37" s="24">
        <f t="shared" si="0"/>
        <v>31</v>
      </c>
      <c r="F37" s="54">
        <f t="shared" si="1"/>
        <v>0</v>
      </c>
    </row>
    <row r="38" spans="1:6" ht="18" customHeight="1">
      <c r="A38" s="51" t="s">
        <v>31</v>
      </c>
      <c r="B38" s="24">
        <v>120</v>
      </c>
      <c r="C38" s="24">
        <v>317</v>
      </c>
      <c r="D38" s="24">
        <v>332</v>
      </c>
      <c r="E38" s="24">
        <f t="shared" si="0"/>
        <v>212</v>
      </c>
      <c r="F38" s="54">
        <f t="shared" si="1"/>
        <v>15</v>
      </c>
    </row>
    <row r="39" spans="1:6" ht="18" customHeight="1">
      <c r="A39" s="51" t="s">
        <v>32</v>
      </c>
      <c r="B39" s="24">
        <v>2</v>
      </c>
      <c r="C39" s="24">
        <v>1</v>
      </c>
      <c r="D39" s="24">
        <v>67</v>
      </c>
      <c r="E39" s="24">
        <f t="shared" si="0"/>
        <v>65</v>
      </c>
      <c r="F39" s="54">
        <f t="shared" si="1"/>
        <v>66</v>
      </c>
    </row>
    <row r="40" spans="1:6" ht="18" customHeight="1">
      <c r="A40" s="51" t="s">
        <v>33</v>
      </c>
      <c r="B40" s="24">
        <v>2</v>
      </c>
      <c r="C40" s="24">
        <v>2</v>
      </c>
      <c r="D40" s="24">
        <v>17</v>
      </c>
      <c r="E40" s="24">
        <f t="shared" si="0"/>
        <v>15</v>
      </c>
      <c r="F40" s="54">
        <f t="shared" si="1"/>
        <v>15</v>
      </c>
    </row>
    <row r="41" spans="1:6" ht="18" customHeight="1">
      <c r="A41" s="51" t="s">
        <v>34</v>
      </c>
      <c r="B41" s="24">
        <v>4</v>
      </c>
      <c r="C41" s="24">
        <v>6</v>
      </c>
      <c r="D41" s="24">
        <v>120</v>
      </c>
      <c r="E41" s="24">
        <f t="shared" si="0"/>
        <v>116</v>
      </c>
      <c r="F41" s="54">
        <f t="shared" si="1"/>
        <v>114</v>
      </c>
    </row>
    <row r="42" spans="1:6" ht="18" customHeight="1">
      <c r="A42" s="51" t="s">
        <v>35</v>
      </c>
      <c r="B42" s="24">
        <v>6</v>
      </c>
      <c r="C42" s="24">
        <v>12</v>
      </c>
      <c r="D42" s="24">
        <v>151</v>
      </c>
      <c r="E42" s="24">
        <f t="shared" si="0"/>
        <v>145</v>
      </c>
      <c r="F42" s="54">
        <f t="shared" si="1"/>
        <v>139</v>
      </c>
    </row>
    <row r="43" spans="1:6" ht="18" customHeight="1">
      <c r="A43" s="51" t="s">
        <v>36</v>
      </c>
      <c r="B43" s="24">
        <v>2</v>
      </c>
      <c r="C43" s="24">
        <v>0</v>
      </c>
      <c r="D43" s="24">
        <v>2</v>
      </c>
      <c r="E43" s="24">
        <f t="shared" si="0"/>
        <v>0</v>
      </c>
      <c r="F43" s="54">
        <f t="shared" si="1"/>
        <v>2</v>
      </c>
    </row>
    <row r="44" spans="1:6" ht="18" customHeight="1">
      <c r="A44" s="51" t="s">
        <v>37</v>
      </c>
      <c r="B44" s="24">
        <v>36</v>
      </c>
      <c r="C44" s="24">
        <v>386</v>
      </c>
      <c r="D44" s="24">
        <v>411</v>
      </c>
      <c r="E44" s="24">
        <f t="shared" si="0"/>
        <v>375</v>
      </c>
      <c r="F44" s="54">
        <f t="shared" si="1"/>
        <v>25</v>
      </c>
    </row>
    <row r="45" spans="1:6" ht="18" customHeight="1">
      <c r="A45" s="51" t="s">
        <v>38</v>
      </c>
      <c r="B45" s="24">
        <v>312</v>
      </c>
      <c r="C45" s="24">
        <v>729</v>
      </c>
      <c r="D45" s="24">
        <v>176</v>
      </c>
      <c r="E45" s="24">
        <f t="shared" si="0"/>
        <v>-136</v>
      </c>
      <c r="F45" s="54">
        <f t="shared" si="1"/>
        <v>-553</v>
      </c>
    </row>
    <row r="46" spans="1:6" ht="18" customHeight="1">
      <c r="A46" s="51" t="s">
        <v>39</v>
      </c>
      <c r="B46" s="24">
        <v>30</v>
      </c>
      <c r="C46" s="24">
        <v>135</v>
      </c>
      <c r="D46" s="24">
        <v>85</v>
      </c>
      <c r="E46" s="24">
        <f t="shared" si="0"/>
        <v>55</v>
      </c>
      <c r="F46" s="54">
        <f t="shared" si="1"/>
        <v>-50</v>
      </c>
    </row>
    <row r="47" spans="1:6" ht="18" customHeight="1">
      <c r="A47" s="51" t="s">
        <v>40</v>
      </c>
      <c r="B47" s="24">
        <v>9</v>
      </c>
      <c r="C47" s="24">
        <v>28</v>
      </c>
      <c r="D47" s="24">
        <v>29</v>
      </c>
      <c r="E47" s="24">
        <f t="shared" si="0"/>
        <v>20</v>
      </c>
      <c r="F47" s="54">
        <f t="shared" si="1"/>
        <v>1</v>
      </c>
    </row>
    <row r="48" spans="1:6" ht="18" customHeight="1">
      <c r="A48" s="51" t="s">
        <v>41</v>
      </c>
      <c r="B48" s="24">
        <v>38</v>
      </c>
      <c r="C48" s="24">
        <v>149</v>
      </c>
      <c r="D48" s="24">
        <v>40</v>
      </c>
      <c r="E48" s="24">
        <f t="shared" si="0"/>
        <v>2</v>
      </c>
      <c r="F48" s="54">
        <f t="shared" si="1"/>
        <v>-109</v>
      </c>
    </row>
    <row r="49" spans="1:6" ht="18" customHeight="1">
      <c r="A49" s="51" t="s">
        <v>42</v>
      </c>
      <c r="B49" s="24">
        <v>2</v>
      </c>
      <c r="C49" s="24">
        <v>4</v>
      </c>
      <c r="D49" s="24">
        <v>9</v>
      </c>
      <c r="E49" s="55">
        <f t="shared" si="0"/>
        <v>7</v>
      </c>
      <c r="F49" s="56">
        <f t="shared" si="1"/>
        <v>5</v>
      </c>
    </row>
    <row r="50" spans="1:6" ht="18" customHeight="1">
      <c r="A50" s="57" t="s">
        <v>43</v>
      </c>
      <c r="B50" s="58">
        <v>2349</v>
      </c>
      <c r="C50" s="58">
        <v>6888</v>
      </c>
      <c r="D50" s="58">
        <v>6674</v>
      </c>
      <c r="E50" s="32">
        <f t="shared" si="0"/>
        <v>4325</v>
      </c>
      <c r="F50" s="33">
        <f t="shared" si="1"/>
        <v>-214</v>
      </c>
    </row>
    <row r="51" spans="1:6" ht="18" customHeight="1">
      <c r="A51" s="57" t="s">
        <v>44</v>
      </c>
      <c r="B51" s="32">
        <v>38724</v>
      </c>
      <c r="C51" s="32">
        <v>30674</v>
      </c>
      <c r="D51" s="32">
        <v>26803</v>
      </c>
      <c r="E51" s="32">
        <f t="shared" si="0"/>
        <v>-11921</v>
      </c>
      <c r="F51" s="33">
        <f t="shared" si="1"/>
        <v>-3871</v>
      </c>
    </row>
    <row r="52" spans="1:6" ht="18" customHeight="1">
      <c r="A52" s="57" t="s">
        <v>45</v>
      </c>
      <c r="B52" s="32">
        <v>41073</v>
      </c>
      <c r="C52" s="32">
        <v>37562</v>
      </c>
      <c r="D52" s="32">
        <v>33477</v>
      </c>
      <c r="E52" s="32">
        <f t="shared" si="0"/>
        <v>-7596</v>
      </c>
      <c r="F52" s="33">
        <f t="shared" si="1"/>
        <v>-4085</v>
      </c>
    </row>
    <row r="53" ht="18" customHeight="1"/>
    <row r="54" ht="18" customHeight="1"/>
    <row r="55" ht="15" customHeight="1"/>
  </sheetData>
  <sheetProtection/>
  <mergeCells count="7">
    <mergeCell ref="A9:A12"/>
    <mergeCell ref="B10:B12"/>
    <mergeCell ref="C10:D11"/>
    <mergeCell ref="E10:F10"/>
    <mergeCell ref="E11:E12"/>
    <mergeCell ref="F11:F12"/>
    <mergeCell ref="B9:F9"/>
  </mergeCells>
  <printOptions horizontalCentered="1" verticalCentered="1"/>
  <pageMargins left="0.3937007874015748" right="0.3937007874015748" top="0.8661417322834646" bottom="0.8661417322834646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1">
      <selection activeCell="A31" sqref="A31"/>
    </sheetView>
  </sheetViews>
  <sheetFormatPr defaultColWidth="8.00390625" defaultRowHeight="15"/>
  <cols>
    <col min="1" max="1" width="25.8515625" style="1" customWidth="1"/>
    <col min="2" max="2" width="16.8515625" style="1" customWidth="1"/>
    <col min="3" max="4" width="13.7109375" style="1" customWidth="1"/>
    <col min="5" max="5" width="10.57421875" style="1" customWidth="1"/>
    <col min="6" max="6" width="10.57421875" style="2" customWidth="1"/>
    <col min="7" max="7" width="10.57421875" style="13" customWidth="1"/>
    <col min="8" max="8" width="11.28125" style="4" customWidth="1"/>
    <col min="9" max="16384" width="8.00390625" style="1" customWidth="1"/>
  </cols>
  <sheetData>
    <row r="1" ht="15">
      <c r="G1" s="3"/>
    </row>
    <row r="3" ht="15">
      <c r="G3" s="3"/>
    </row>
    <row r="4" spans="2:8" ht="15">
      <c r="B4" s="5"/>
      <c r="C4" s="5"/>
      <c r="D4" s="5"/>
      <c r="E4" s="5"/>
      <c r="F4" s="6"/>
      <c r="G4" s="5"/>
      <c r="H4" s="3"/>
    </row>
    <row r="5" spans="1:7" ht="15">
      <c r="A5" s="235"/>
      <c r="B5" s="235"/>
      <c r="C5" s="235"/>
      <c r="D5" s="235"/>
      <c r="E5" s="235"/>
      <c r="F5" s="235"/>
      <c r="G5" s="235"/>
    </row>
    <row r="6" spans="1:7" ht="15">
      <c r="A6" s="5" t="s">
        <v>70</v>
      </c>
      <c r="B6" s="7"/>
      <c r="C6" s="7"/>
      <c r="D6" s="7"/>
      <c r="E6" s="7"/>
      <c r="F6" s="8"/>
      <c r="G6" s="7"/>
    </row>
    <row r="7" spans="1:7" ht="15">
      <c r="A7" s="9" t="s">
        <v>69</v>
      </c>
      <c r="B7" s="7"/>
      <c r="C7" s="7"/>
      <c r="D7" s="7"/>
      <c r="E7" s="7"/>
      <c r="F7" s="8"/>
      <c r="G7" s="7"/>
    </row>
    <row r="8" spans="1:7" ht="15">
      <c r="A8" s="7"/>
      <c r="B8" s="7"/>
      <c r="C8" s="7"/>
      <c r="D8" s="7"/>
      <c r="E8" s="7"/>
      <c r="F8" s="8"/>
      <c r="G8" s="7"/>
    </row>
    <row r="9" spans="1:8" ht="15.75" customHeight="1">
      <c r="A9" s="10"/>
      <c r="B9" s="10"/>
      <c r="C9" s="10"/>
      <c r="D9" s="10"/>
      <c r="E9" s="11"/>
      <c r="F9" s="12"/>
      <c r="H9" s="14" t="s">
        <v>1</v>
      </c>
    </row>
    <row r="10" spans="1:8" ht="15.75" customHeight="1">
      <c r="A10" s="236" t="s">
        <v>2</v>
      </c>
      <c r="B10" s="239" t="s">
        <v>46</v>
      </c>
      <c r="C10" s="242" t="s">
        <v>62</v>
      </c>
      <c r="D10" s="243"/>
      <c r="E10" s="246" t="s">
        <v>5</v>
      </c>
      <c r="F10" s="247"/>
      <c r="G10" s="233" t="s">
        <v>58</v>
      </c>
      <c r="H10" s="232" t="s">
        <v>59</v>
      </c>
    </row>
    <row r="11" spans="1:8" ht="14.25" customHeight="1">
      <c r="A11" s="237"/>
      <c r="B11" s="240"/>
      <c r="C11" s="244"/>
      <c r="D11" s="245"/>
      <c r="E11" s="233" t="s">
        <v>56</v>
      </c>
      <c r="F11" s="233" t="s">
        <v>57</v>
      </c>
      <c r="G11" s="248"/>
      <c r="H11" s="232"/>
    </row>
    <row r="12" spans="1:8" ht="22.5" customHeight="1">
      <c r="A12" s="238"/>
      <c r="B12" s="241"/>
      <c r="C12" s="15">
        <v>2011</v>
      </c>
      <c r="D12" s="15">
        <v>2012</v>
      </c>
      <c r="E12" s="234"/>
      <c r="F12" s="234"/>
      <c r="G12" s="234"/>
      <c r="H12" s="232"/>
    </row>
    <row r="13" spans="1:8" ht="15">
      <c r="A13" s="16" t="s">
        <v>6</v>
      </c>
      <c r="B13" s="17">
        <v>1</v>
      </c>
      <c r="C13" s="17">
        <v>2</v>
      </c>
      <c r="D13" s="17">
        <v>3</v>
      </c>
      <c r="E13" s="18">
        <v>4</v>
      </c>
      <c r="F13" s="19">
        <v>5</v>
      </c>
      <c r="G13" s="17">
        <v>6</v>
      </c>
      <c r="H13" s="20">
        <v>7</v>
      </c>
    </row>
    <row r="14" spans="1:8" ht="18" customHeight="1">
      <c r="A14" s="21" t="s">
        <v>7</v>
      </c>
      <c r="B14" s="22">
        <v>28926</v>
      </c>
      <c r="C14" s="22">
        <v>27935</v>
      </c>
      <c r="D14" s="23">
        <v>29233</v>
      </c>
      <c r="E14" s="24">
        <f>+D14-B14</f>
        <v>307</v>
      </c>
      <c r="F14" s="25">
        <f>+D14-C14</f>
        <v>1298</v>
      </c>
      <c r="G14" s="26">
        <f aca="true" t="shared" si="0" ref="G14:G50">+D14/B14*100</f>
        <v>101.06132890824864</v>
      </c>
      <c r="H14" s="27">
        <f>+D14/C14*100</f>
        <v>104.6465008054412</v>
      </c>
    </row>
    <row r="15" spans="1:8" ht="18" customHeight="1">
      <c r="A15" s="21" t="s">
        <v>8</v>
      </c>
      <c r="B15" s="22">
        <v>8500</v>
      </c>
      <c r="C15" s="22">
        <v>8362</v>
      </c>
      <c r="D15" s="28">
        <v>9127</v>
      </c>
      <c r="E15" s="24">
        <f aca="true" t="shared" si="1" ref="E15:E53">+D15-B15</f>
        <v>627</v>
      </c>
      <c r="F15" s="25">
        <f aca="true" t="shared" si="2" ref="F15:F49">+D15-C15</f>
        <v>765</v>
      </c>
      <c r="G15" s="26">
        <f t="shared" si="0"/>
        <v>107.37647058823529</v>
      </c>
      <c r="H15" s="29">
        <f aca="true" t="shared" si="3" ref="H15:H49">+D15/C15*100</f>
        <v>109.1485290600335</v>
      </c>
    </row>
    <row r="16" spans="1:8" ht="18" customHeight="1">
      <c r="A16" s="21" t="s">
        <v>9</v>
      </c>
      <c r="B16" s="22">
        <v>3885</v>
      </c>
      <c r="C16" s="22">
        <v>3710</v>
      </c>
      <c r="D16" s="28">
        <v>4419</v>
      </c>
      <c r="E16" s="24">
        <f t="shared" si="1"/>
        <v>534</v>
      </c>
      <c r="F16" s="25">
        <f t="shared" si="2"/>
        <v>709</v>
      </c>
      <c r="G16" s="26">
        <f t="shared" si="0"/>
        <v>113.74517374517374</v>
      </c>
      <c r="H16" s="29">
        <f t="shared" si="3"/>
        <v>119.11051212938007</v>
      </c>
    </row>
    <row r="17" spans="1:8" ht="18" customHeight="1">
      <c r="A17" s="21" t="s">
        <v>10</v>
      </c>
      <c r="B17" s="22">
        <v>5149</v>
      </c>
      <c r="C17" s="22">
        <v>4952</v>
      </c>
      <c r="D17" s="28">
        <v>4925</v>
      </c>
      <c r="E17" s="24">
        <f t="shared" si="1"/>
        <v>-224</v>
      </c>
      <c r="F17" s="25">
        <f t="shared" si="2"/>
        <v>-27</v>
      </c>
      <c r="G17" s="26">
        <f t="shared" si="0"/>
        <v>95.64964070693338</v>
      </c>
      <c r="H17" s="29">
        <f t="shared" si="3"/>
        <v>99.45476575121162</v>
      </c>
    </row>
    <row r="18" spans="1:8" ht="18" customHeight="1">
      <c r="A18" s="21" t="s">
        <v>11</v>
      </c>
      <c r="B18" s="22">
        <v>4039</v>
      </c>
      <c r="C18" s="22">
        <v>3875</v>
      </c>
      <c r="D18" s="28">
        <v>3899</v>
      </c>
      <c r="E18" s="24">
        <f t="shared" si="1"/>
        <v>-140</v>
      </c>
      <c r="F18" s="25">
        <f t="shared" si="2"/>
        <v>24</v>
      </c>
      <c r="G18" s="26">
        <f t="shared" si="0"/>
        <v>96.53379549393414</v>
      </c>
      <c r="H18" s="29">
        <f t="shared" si="3"/>
        <v>100.61935483870967</v>
      </c>
    </row>
    <row r="19" spans="1:8" ht="18" customHeight="1">
      <c r="A19" s="21" t="s">
        <v>12</v>
      </c>
      <c r="B19" s="22">
        <v>5599</v>
      </c>
      <c r="C19" s="22">
        <v>5402</v>
      </c>
      <c r="D19" s="28">
        <v>6361</v>
      </c>
      <c r="E19" s="24">
        <f t="shared" si="1"/>
        <v>762</v>
      </c>
      <c r="F19" s="25">
        <f t="shared" si="2"/>
        <v>959</v>
      </c>
      <c r="G19" s="26">
        <f t="shared" si="0"/>
        <v>113.60957313806037</v>
      </c>
      <c r="H19" s="29">
        <f t="shared" si="3"/>
        <v>117.75268419104034</v>
      </c>
    </row>
    <row r="20" spans="1:8" ht="18" customHeight="1">
      <c r="A20" s="21" t="s">
        <v>13</v>
      </c>
      <c r="B20" s="22">
        <v>5062</v>
      </c>
      <c r="C20" s="22">
        <v>4850</v>
      </c>
      <c r="D20" s="28">
        <v>5964</v>
      </c>
      <c r="E20" s="24">
        <f t="shared" si="1"/>
        <v>902</v>
      </c>
      <c r="F20" s="25">
        <f t="shared" si="2"/>
        <v>1114</v>
      </c>
      <c r="G20" s="26">
        <f t="shared" si="0"/>
        <v>117.81904385618334</v>
      </c>
      <c r="H20" s="29">
        <f t="shared" si="3"/>
        <v>122.96907216494846</v>
      </c>
    </row>
    <row r="21" spans="1:8" ht="18" customHeight="1">
      <c r="A21" s="21" t="s">
        <v>14</v>
      </c>
      <c r="B21" s="22">
        <v>5111</v>
      </c>
      <c r="C21" s="22">
        <v>4892</v>
      </c>
      <c r="D21" s="28">
        <v>5182</v>
      </c>
      <c r="E21" s="24">
        <f t="shared" si="1"/>
        <v>71</v>
      </c>
      <c r="F21" s="25">
        <f t="shared" si="2"/>
        <v>290</v>
      </c>
      <c r="G21" s="26">
        <f t="shared" si="0"/>
        <v>101.38916063392682</v>
      </c>
      <c r="H21" s="29">
        <f t="shared" si="3"/>
        <v>105.92804578904334</v>
      </c>
    </row>
    <row r="22" spans="1:8" ht="18" customHeight="1">
      <c r="A22" s="21" t="s">
        <v>15</v>
      </c>
      <c r="B22" s="22">
        <v>6570</v>
      </c>
      <c r="C22" s="22">
        <v>6360</v>
      </c>
      <c r="D22" s="28">
        <v>7962</v>
      </c>
      <c r="E22" s="24">
        <f t="shared" si="1"/>
        <v>1392</v>
      </c>
      <c r="F22" s="25">
        <f t="shared" si="2"/>
        <v>1602</v>
      </c>
      <c r="G22" s="26">
        <f t="shared" si="0"/>
        <v>121.18721461187214</v>
      </c>
      <c r="H22" s="29">
        <f t="shared" si="3"/>
        <v>125.18867924528303</v>
      </c>
    </row>
    <row r="23" spans="1:8" ht="18" customHeight="1">
      <c r="A23" s="21" t="s">
        <v>16</v>
      </c>
      <c r="B23" s="22">
        <v>3747</v>
      </c>
      <c r="C23" s="22">
        <v>3567</v>
      </c>
      <c r="D23" s="28">
        <v>4034</v>
      </c>
      <c r="E23" s="24">
        <f t="shared" si="1"/>
        <v>287</v>
      </c>
      <c r="F23" s="25">
        <f t="shared" si="2"/>
        <v>467</v>
      </c>
      <c r="G23" s="26">
        <f t="shared" si="0"/>
        <v>107.65946090205499</v>
      </c>
      <c r="H23" s="29">
        <f t="shared" si="3"/>
        <v>113.09223437061956</v>
      </c>
    </row>
    <row r="24" spans="1:8" ht="18" customHeight="1">
      <c r="A24" s="21" t="s">
        <v>17</v>
      </c>
      <c r="B24" s="22">
        <v>2764</v>
      </c>
      <c r="C24" s="22">
        <v>2669</v>
      </c>
      <c r="D24" s="28">
        <v>3038</v>
      </c>
      <c r="E24" s="24">
        <f t="shared" si="1"/>
        <v>274</v>
      </c>
      <c r="F24" s="25">
        <f t="shared" si="2"/>
        <v>369</v>
      </c>
      <c r="G24" s="26">
        <f t="shared" si="0"/>
        <v>109.91316931982634</v>
      </c>
      <c r="H24" s="29">
        <f t="shared" si="3"/>
        <v>113.82540277257401</v>
      </c>
    </row>
    <row r="25" spans="1:8" ht="18" customHeight="1">
      <c r="A25" s="21" t="s">
        <v>18</v>
      </c>
      <c r="B25" s="22">
        <v>4769</v>
      </c>
      <c r="C25" s="22">
        <v>4572</v>
      </c>
      <c r="D25" s="28">
        <v>5053</v>
      </c>
      <c r="E25" s="24">
        <f t="shared" si="1"/>
        <v>284</v>
      </c>
      <c r="F25" s="25">
        <f t="shared" si="2"/>
        <v>481</v>
      </c>
      <c r="G25" s="26">
        <f t="shared" si="0"/>
        <v>105.95512686097715</v>
      </c>
      <c r="H25" s="29">
        <f t="shared" si="3"/>
        <v>110.52055993000876</v>
      </c>
    </row>
    <row r="26" spans="1:8" ht="18" customHeight="1">
      <c r="A26" s="21" t="s">
        <v>19</v>
      </c>
      <c r="B26" s="22">
        <v>4464</v>
      </c>
      <c r="C26" s="22">
        <v>4267</v>
      </c>
      <c r="D26" s="28">
        <v>4577</v>
      </c>
      <c r="E26" s="24">
        <f t="shared" si="1"/>
        <v>113</v>
      </c>
      <c r="F26" s="25">
        <f t="shared" si="2"/>
        <v>310</v>
      </c>
      <c r="G26" s="26">
        <f t="shared" si="0"/>
        <v>102.53136200716845</v>
      </c>
      <c r="H26" s="29">
        <f t="shared" si="3"/>
        <v>107.26505741738927</v>
      </c>
    </row>
    <row r="27" spans="1:8" ht="18" customHeight="1">
      <c r="A27" s="21" t="s">
        <v>20</v>
      </c>
      <c r="B27" s="22">
        <v>6766</v>
      </c>
      <c r="C27" s="22">
        <v>6495</v>
      </c>
      <c r="D27" s="28">
        <v>6465</v>
      </c>
      <c r="E27" s="24">
        <f t="shared" si="1"/>
        <v>-301</v>
      </c>
      <c r="F27" s="25">
        <f t="shared" si="2"/>
        <v>-30</v>
      </c>
      <c r="G27" s="26">
        <f t="shared" si="0"/>
        <v>95.55128584096956</v>
      </c>
      <c r="H27" s="29">
        <f t="shared" si="3"/>
        <v>99.53810623556582</v>
      </c>
    </row>
    <row r="28" spans="1:8" ht="18" customHeight="1">
      <c r="A28" s="21" t="s">
        <v>21</v>
      </c>
      <c r="B28" s="22">
        <v>3450</v>
      </c>
      <c r="C28" s="22">
        <v>3310</v>
      </c>
      <c r="D28" s="28">
        <v>3637</v>
      </c>
      <c r="E28" s="24">
        <f t="shared" si="1"/>
        <v>187</v>
      </c>
      <c r="F28" s="25">
        <f t="shared" si="2"/>
        <v>327</v>
      </c>
      <c r="G28" s="26">
        <f t="shared" si="0"/>
        <v>105.42028985507245</v>
      </c>
      <c r="H28" s="29">
        <f t="shared" si="3"/>
        <v>109.87915407854985</v>
      </c>
    </row>
    <row r="29" spans="1:8" ht="18" customHeight="1">
      <c r="A29" s="21" t="s">
        <v>22</v>
      </c>
      <c r="B29" s="22">
        <v>3345</v>
      </c>
      <c r="C29" s="22">
        <v>3195</v>
      </c>
      <c r="D29" s="28">
        <v>3581</v>
      </c>
      <c r="E29" s="24">
        <f t="shared" si="1"/>
        <v>236</v>
      </c>
      <c r="F29" s="25">
        <f t="shared" si="2"/>
        <v>386</v>
      </c>
      <c r="G29" s="26">
        <f t="shared" si="0"/>
        <v>107.05530642750374</v>
      </c>
      <c r="H29" s="29">
        <f t="shared" si="3"/>
        <v>112.08137715179969</v>
      </c>
    </row>
    <row r="30" spans="1:8" ht="18" customHeight="1">
      <c r="A30" s="21" t="s">
        <v>23</v>
      </c>
      <c r="B30" s="22">
        <v>4022</v>
      </c>
      <c r="C30" s="22">
        <v>3876</v>
      </c>
      <c r="D30" s="28">
        <v>4364</v>
      </c>
      <c r="E30" s="24">
        <f t="shared" si="1"/>
        <v>342</v>
      </c>
      <c r="F30" s="25">
        <f t="shared" si="2"/>
        <v>488</v>
      </c>
      <c r="G30" s="26">
        <f t="shared" si="0"/>
        <v>108.50323222277474</v>
      </c>
      <c r="H30" s="29">
        <f t="shared" si="3"/>
        <v>112.59029927760578</v>
      </c>
    </row>
    <row r="31" spans="1:8" ht="18" customHeight="1">
      <c r="A31" s="21" t="s">
        <v>24</v>
      </c>
      <c r="B31" s="22">
        <v>3007</v>
      </c>
      <c r="C31" s="22">
        <v>2919</v>
      </c>
      <c r="D31" s="28">
        <v>3109</v>
      </c>
      <c r="E31" s="24">
        <f t="shared" si="1"/>
        <v>102</v>
      </c>
      <c r="F31" s="25">
        <f t="shared" si="2"/>
        <v>190</v>
      </c>
      <c r="G31" s="26">
        <f t="shared" si="0"/>
        <v>103.39208513468574</v>
      </c>
      <c r="H31" s="29">
        <f t="shared" si="3"/>
        <v>106.50907845152449</v>
      </c>
    </row>
    <row r="32" spans="1:8" ht="18" customHeight="1">
      <c r="A32" s="21" t="s">
        <v>25</v>
      </c>
      <c r="B32" s="22">
        <v>5339</v>
      </c>
      <c r="C32" s="22">
        <v>5143</v>
      </c>
      <c r="D32" s="28">
        <v>5113</v>
      </c>
      <c r="E32" s="24">
        <f t="shared" si="1"/>
        <v>-226</v>
      </c>
      <c r="F32" s="25">
        <f t="shared" si="2"/>
        <v>-30</v>
      </c>
      <c r="G32" s="26">
        <f t="shared" si="0"/>
        <v>95.7669975650871</v>
      </c>
      <c r="H32" s="29">
        <f t="shared" si="3"/>
        <v>99.41668286992028</v>
      </c>
    </row>
    <row r="33" spans="1:8" ht="18" customHeight="1">
      <c r="A33" s="21" t="s">
        <v>26</v>
      </c>
      <c r="B33" s="22">
        <v>2566</v>
      </c>
      <c r="C33" s="22">
        <v>2467</v>
      </c>
      <c r="D33" s="28">
        <v>3187</v>
      </c>
      <c r="E33" s="24">
        <f t="shared" si="1"/>
        <v>621</v>
      </c>
      <c r="F33" s="25">
        <f t="shared" si="2"/>
        <v>720</v>
      </c>
      <c r="G33" s="26">
        <f t="shared" si="0"/>
        <v>124.20109119251754</v>
      </c>
      <c r="H33" s="29">
        <f t="shared" si="3"/>
        <v>129.18524523713012</v>
      </c>
    </row>
    <row r="34" spans="1:8" ht="18" customHeight="1">
      <c r="A34" s="21" t="s">
        <v>27</v>
      </c>
      <c r="B34" s="22">
        <v>2066</v>
      </c>
      <c r="C34" s="22">
        <v>1975</v>
      </c>
      <c r="D34" s="28">
        <v>1792</v>
      </c>
      <c r="E34" s="24">
        <f t="shared" si="1"/>
        <v>-274</v>
      </c>
      <c r="F34" s="25">
        <f t="shared" si="2"/>
        <v>-183</v>
      </c>
      <c r="G34" s="26">
        <f t="shared" si="0"/>
        <v>86.73765730880929</v>
      </c>
      <c r="H34" s="29">
        <f t="shared" si="3"/>
        <v>90.73417721518987</v>
      </c>
    </row>
    <row r="35" spans="1:8" ht="18" customHeight="1">
      <c r="A35" s="21" t="s">
        <v>28</v>
      </c>
      <c r="B35" s="22">
        <v>1329</v>
      </c>
      <c r="C35" s="22">
        <v>1294</v>
      </c>
      <c r="D35" s="28">
        <v>1438</v>
      </c>
      <c r="E35" s="24">
        <f t="shared" si="1"/>
        <v>109</v>
      </c>
      <c r="F35" s="25">
        <f t="shared" si="2"/>
        <v>144</v>
      </c>
      <c r="G35" s="26">
        <f t="shared" si="0"/>
        <v>108.20165537998494</v>
      </c>
      <c r="H35" s="29">
        <f t="shared" si="3"/>
        <v>111.12828438948996</v>
      </c>
    </row>
    <row r="36" spans="1:8" ht="18" customHeight="1">
      <c r="A36" s="21" t="s">
        <v>29</v>
      </c>
      <c r="B36" s="22">
        <v>3459</v>
      </c>
      <c r="C36" s="22">
        <v>3343</v>
      </c>
      <c r="D36" s="28">
        <v>3618</v>
      </c>
      <c r="E36" s="24">
        <f t="shared" si="1"/>
        <v>159</v>
      </c>
      <c r="F36" s="25">
        <f t="shared" si="2"/>
        <v>275</v>
      </c>
      <c r="G36" s="26">
        <f t="shared" si="0"/>
        <v>104.59670424978317</v>
      </c>
      <c r="H36" s="29">
        <f t="shared" si="3"/>
        <v>108.22614418187257</v>
      </c>
    </row>
    <row r="37" spans="1:8" ht="18" customHeight="1">
      <c r="A37" s="21" t="s">
        <v>30</v>
      </c>
      <c r="B37" s="22">
        <v>2774</v>
      </c>
      <c r="C37" s="22">
        <v>2643</v>
      </c>
      <c r="D37" s="28">
        <v>2751</v>
      </c>
      <c r="E37" s="24">
        <f t="shared" si="1"/>
        <v>-23</v>
      </c>
      <c r="F37" s="25">
        <f t="shared" si="2"/>
        <v>108</v>
      </c>
      <c r="G37" s="26">
        <f t="shared" si="0"/>
        <v>99.17087238644557</v>
      </c>
      <c r="H37" s="29">
        <f t="shared" si="3"/>
        <v>104.08626560726448</v>
      </c>
    </row>
    <row r="38" spans="1:8" ht="18" customHeight="1">
      <c r="A38" s="21" t="s">
        <v>31</v>
      </c>
      <c r="B38" s="22">
        <v>6133</v>
      </c>
      <c r="C38" s="22">
        <v>5815</v>
      </c>
      <c r="D38" s="28">
        <v>6060</v>
      </c>
      <c r="E38" s="24">
        <f t="shared" si="1"/>
        <v>-73</v>
      </c>
      <c r="F38" s="25">
        <f t="shared" si="2"/>
        <v>245</v>
      </c>
      <c r="G38" s="26">
        <f t="shared" si="0"/>
        <v>98.80971791945214</v>
      </c>
      <c r="H38" s="29">
        <f t="shared" si="3"/>
        <v>104.21324161650902</v>
      </c>
    </row>
    <row r="39" spans="1:8" ht="18" customHeight="1">
      <c r="A39" s="21" t="s">
        <v>32</v>
      </c>
      <c r="B39" s="22">
        <v>2005</v>
      </c>
      <c r="C39" s="22">
        <v>1882</v>
      </c>
      <c r="D39" s="28">
        <v>1589</v>
      </c>
      <c r="E39" s="24">
        <f t="shared" si="1"/>
        <v>-416</v>
      </c>
      <c r="F39" s="25">
        <f t="shared" si="2"/>
        <v>-293</v>
      </c>
      <c r="G39" s="26">
        <f t="shared" si="0"/>
        <v>79.25187032418953</v>
      </c>
      <c r="H39" s="29">
        <f t="shared" si="3"/>
        <v>84.43145589798087</v>
      </c>
    </row>
    <row r="40" spans="1:8" ht="18" customHeight="1">
      <c r="A40" s="21" t="s">
        <v>47</v>
      </c>
      <c r="B40" s="22">
        <v>3311</v>
      </c>
      <c r="C40" s="22">
        <v>3234</v>
      </c>
      <c r="D40" s="28">
        <v>3420</v>
      </c>
      <c r="E40" s="24">
        <f t="shared" si="1"/>
        <v>109</v>
      </c>
      <c r="F40" s="25">
        <f t="shared" si="2"/>
        <v>186</v>
      </c>
      <c r="G40" s="26">
        <f t="shared" si="0"/>
        <v>103.29205678042888</v>
      </c>
      <c r="H40" s="29">
        <f t="shared" si="3"/>
        <v>105.75139146567719</v>
      </c>
    </row>
    <row r="41" spans="1:8" ht="18" customHeight="1">
      <c r="A41" s="21" t="s">
        <v>34</v>
      </c>
      <c r="B41" s="22">
        <v>4759</v>
      </c>
      <c r="C41" s="22">
        <v>4576</v>
      </c>
      <c r="D41" s="28">
        <v>4590</v>
      </c>
      <c r="E41" s="24">
        <f t="shared" si="1"/>
        <v>-169</v>
      </c>
      <c r="F41" s="25">
        <f t="shared" si="2"/>
        <v>14</v>
      </c>
      <c r="G41" s="26">
        <f t="shared" si="0"/>
        <v>96.44883378861105</v>
      </c>
      <c r="H41" s="29">
        <f t="shared" si="3"/>
        <v>100.30594405594407</v>
      </c>
    </row>
    <row r="42" spans="1:8" ht="18" customHeight="1">
      <c r="A42" s="21" t="s">
        <v>35</v>
      </c>
      <c r="B42" s="22">
        <v>1323</v>
      </c>
      <c r="C42" s="22">
        <v>1260</v>
      </c>
      <c r="D42" s="28">
        <v>1196</v>
      </c>
      <c r="E42" s="24">
        <f t="shared" si="1"/>
        <v>-127</v>
      </c>
      <c r="F42" s="25">
        <f t="shared" si="2"/>
        <v>-64</v>
      </c>
      <c r="G42" s="26">
        <f t="shared" si="0"/>
        <v>90.40060468631897</v>
      </c>
      <c r="H42" s="29">
        <f t="shared" si="3"/>
        <v>94.92063492063491</v>
      </c>
    </row>
    <row r="43" spans="1:8" ht="18" customHeight="1">
      <c r="A43" s="21" t="s">
        <v>36</v>
      </c>
      <c r="B43" s="22">
        <v>1399</v>
      </c>
      <c r="C43" s="22">
        <v>1328</v>
      </c>
      <c r="D43" s="28">
        <v>1341</v>
      </c>
      <c r="E43" s="24">
        <f t="shared" si="1"/>
        <v>-58</v>
      </c>
      <c r="F43" s="25">
        <f t="shared" si="2"/>
        <v>13</v>
      </c>
      <c r="G43" s="26">
        <f t="shared" si="0"/>
        <v>95.8541815582559</v>
      </c>
      <c r="H43" s="29">
        <f t="shared" si="3"/>
        <v>100.9789156626506</v>
      </c>
    </row>
    <row r="44" spans="1:8" ht="18" customHeight="1">
      <c r="A44" s="21" t="s">
        <v>37</v>
      </c>
      <c r="B44" s="22">
        <v>2057</v>
      </c>
      <c r="C44" s="22">
        <v>1970</v>
      </c>
      <c r="D44" s="28">
        <v>2078</v>
      </c>
      <c r="E44" s="24">
        <f t="shared" si="1"/>
        <v>21</v>
      </c>
      <c r="F44" s="25">
        <f t="shared" si="2"/>
        <v>108</v>
      </c>
      <c r="G44" s="26">
        <f t="shared" si="0"/>
        <v>101.02090422946037</v>
      </c>
      <c r="H44" s="29">
        <f t="shared" si="3"/>
        <v>105.48223350253807</v>
      </c>
    </row>
    <row r="45" spans="1:8" ht="18" customHeight="1">
      <c r="A45" s="21" t="s">
        <v>38</v>
      </c>
      <c r="B45" s="22">
        <v>10215</v>
      </c>
      <c r="C45" s="22">
        <v>9821</v>
      </c>
      <c r="D45" s="28">
        <v>10695</v>
      </c>
      <c r="E45" s="24">
        <f t="shared" si="1"/>
        <v>480</v>
      </c>
      <c r="F45" s="25">
        <f t="shared" si="2"/>
        <v>874</v>
      </c>
      <c r="G45" s="26">
        <f t="shared" si="0"/>
        <v>104.69897209985315</v>
      </c>
      <c r="H45" s="29">
        <f t="shared" si="3"/>
        <v>108.8992974238876</v>
      </c>
    </row>
    <row r="46" spans="1:8" ht="18" customHeight="1">
      <c r="A46" s="21" t="s">
        <v>39</v>
      </c>
      <c r="B46" s="22">
        <v>3262</v>
      </c>
      <c r="C46" s="22">
        <v>3143</v>
      </c>
      <c r="D46" s="28">
        <v>3342</v>
      </c>
      <c r="E46" s="24">
        <f t="shared" si="1"/>
        <v>80</v>
      </c>
      <c r="F46" s="25">
        <f t="shared" si="2"/>
        <v>199</v>
      </c>
      <c r="G46" s="26">
        <f t="shared" si="0"/>
        <v>102.45248313917841</v>
      </c>
      <c r="H46" s="29">
        <f t="shared" si="3"/>
        <v>106.33153038498251</v>
      </c>
    </row>
    <row r="47" spans="1:8" ht="18" customHeight="1">
      <c r="A47" s="21" t="s">
        <v>40</v>
      </c>
      <c r="B47" s="22">
        <v>2406</v>
      </c>
      <c r="C47" s="22">
        <v>2313</v>
      </c>
      <c r="D47" s="28">
        <v>2421</v>
      </c>
      <c r="E47" s="24">
        <f t="shared" si="1"/>
        <v>15</v>
      </c>
      <c r="F47" s="25">
        <f t="shared" si="2"/>
        <v>108</v>
      </c>
      <c r="G47" s="26">
        <f t="shared" si="0"/>
        <v>100.62344139650872</v>
      </c>
      <c r="H47" s="29">
        <f t="shared" si="3"/>
        <v>104.66926070038912</v>
      </c>
    </row>
    <row r="48" spans="1:8" ht="18" customHeight="1">
      <c r="A48" s="21" t="s">
        <v>41</v>
      </c>
      <c r="B48" s="22">
        <v>4181</v>
      </c>
      <c r="C48" s="22">
        <v>3975</v>
      </c>
      <c r="D48" s="28">
        <v>3930</v>
      </c>
      <c r="E48" s="24">
        <f t="shared" si="1"/>
        <v>-251</v>
      </c>
      <c r="F48" s="25">
        <f t="shared" si="2"/>
        <v>-45</v>
      </c>
      <c r="G48" s="26">
        <f t="shared" si="0"/>
        <v>93.99665151877541</v>
      </c>
      <c r="H48" s="29">
        <f t="shared" si="3"/>
        <v>98.86792452830188</v>
      </c>
    </row>
    <row r="49" spans="1:8" ht="18" customHeight="1">
      <c r="A49" s="21" t="s">
        <v>42</v>
      </c>
      <c r="B49" s="22">
        <v>2146</v>
      </c>
      <c r="C49" s="22">
        <v>2123</v>
      </c>
      <c r="D49" s="28">
        <v>2336</v>
      </c>
      <c r="E49" s="24">
        <f t="shared" si="1"/>
        <v>190</v>
      </c>
      <c r="F49" s="25">
        <f t="shared" si="2"/>
        <v>213</v>
      </c>
      <c r="G49" s="26">
        <f t="shared" si="0"/>
        <v>108.85368126747437</v>
      </c>
      <c r="H49" s="29">
        <f t="shared" si="3"/>
        <v>110.03297220913801</v>
      </c>
    </row>
    <row r="50" spans="1:8" ht="18" customHeight="1">
      <c r="A50" s="30" t="s">
        <v>43</v>
      </c>
      <c r="B50" s="31">
        <f>SUM(B14:B49)</f>
        <v>169905</v>
      </c>
      <c r="C50" s="31">
        <v>163513</v>
      </c>
      <c r="D50" s="31">
        <v>175827</v>
      </c>
      <c r="E50" s="32">
        <f t="shared" si="1"/>
        <v>5922</v>
      </c>
      <c r="F50" s="33">
        <f>+D50-C50</f>
        <v>12314</v>
      </c>
      <c r="G50" s="34">
        <f t="shared" si="0"/>
        <v>103.48547717842325</v>
      </c>
      <c r="H50" s="34">
        <f>+D50/C50*100</f>
        <v>107.5308996838172</v>
      </c>
    </row>
    <row r="51" spans="1:8" ht="18" customHeight="1">
      <c r="A51" s="35" t="s">
        <v>48</v>
      </c>
      <c r="B51" s="36">
        <v>0</v>
      </c>
      <c r="C51" s="36">
        <v>-216</v>
      </c>
      <c r="D51" s="36">
        <v>-201</v>
      </c>
      <c r="E51" s="32">
        <f t="shared" si="1"/>
        <v>-201</v>
      </c>
      <c r="F51" s="33">
        <f>+D51-C51</f>
        <v>15</v>
      </c>
      <c r="G51" s="34">
        <v>0</v>
      </c>
      <c r="H51" s="34">
        <f>+D51/C51*100</f>
        <v>93.05555555555556</v>
      </c>
    </row>
    <row r="52" spans="1:8" ht="30.75" customHeight="1">
      <c r="A52" s="37" t="s">
        <v>49</v>
      </c>
      <c r="B52" s="36">
        <v>0</v>
      </c>
      <c r="C52" s="36">
        <v>37</v>
      </c>
      <c r="D52" s="36">
        <v>147</v>
      </c>
      <c r="E52" s="32">
        <f t="shared" si="1"/>
        <v>147</v>
      </c>
      <c r="F52" s="33">
        <f>+D52-C52</f>
        <v>110</v>
      </c>
      <c r="G52" s="34">
        <v>0</v>
      </c>
      <c r="H52" s="34">
        <f>+D52/C52*100</f>
        <v>397.2972972972973</v>
      </c>
    </row>
    <row r="53" spans="1:8" ht="19.5" customHeight="1">
      <c r="A53" s="38" t="s">
        <v>50</v>
      </c>
      <c r="B53" s="39">
        <f>+B50+B51+B52</f>
        <v>169905</v>
      </c>
      <c r="C53" s="39">
        <v>163334</v>
      </c>
      <c r="D53" s="39">
        <v>175773</v>
      </c>
      <c r="E53" s="32">
        <f t="shared" si="1"/>
        <v>5868</v>
      </c>
      <c r="F53" s="33">
        <f>+D53-C53</f>
        <v>12439</v>
      </c>
      <c r="G53" s="34">
        <f>+D53/B53*100</f>
        <v>103.45369471175067</v>
      </c>
      <c r="H53" s="34">
        <f>+D53/C53*100</f>
        <v>107.61568320129307</v>
      </c>
    </row>
    <row r="54" spans="1:7" ht="15">
      <c r="A54" s="40"/>
      <c r="B54" s="40"/>
      <c r="C54" s="40"/>
      <c r="D54" s="40"/>
      <c r="E54" s="40"/>
      <c r="F54" s="41"/>
      <c r="G54" s="40"/>
    </row>
    <row r="102" spans="6:8" ht="19.5" customHeight="1">
      <c r="F102" s="1"/>
      <c r="G102" s="1"/>
      <c r="H102" s="1"/>
    </row>
  </sheetData>
  <sheetProtection/>
  <mergeCells count="9">
    <mergeCell ref="H10:H12"/>
    <mergeCell ref="E11:E12"/>
    <mergeCell ref="F11:F12"/>
    <mergeCell ref="A5:G5"/>
    <mergeCell ref="A10:A12"/>
    <mergeCell ref="B10:B12"/>
    <mergeCell ref="C10:D11"/>
    <mergeCell ref="E10:F10"/>
    <mergeCell ref="G10:G12"/>
  </mergeCells>
  <printOptions horizontalCentered="1" verticalCentered="1"/>
  <pageMargins left="0.3937007874015748" right="0.3937007874015748" top="0.8661417322834646" bottom="0.8661417322834646" header="0.5118110236220472" footer="0.5118110236220472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4"/>
  <sheetViews>
    <sheetView zoomScale="75" zoomScaleNormal="75" zoomScalePageLayoutView="0" workbookViewId="0" topLeftCell="A1">
      <selection activeCell="A31" sqref="A31"/>
    </sheetView>
  </sheetViews>
  <sheetFormatPr defaultColWidth="9.140625" defaultRowHeight="15"/>
  <cols>
    <col min="1" max="1" width="15.8515625" style="62" customWidth="1"/>
    <col min="2" max="3" width="10.57421875" style="62" customWidth="1"/>
    <col min="4" max="4" width="9.8515625" style="62" customWidth="1"/>
    <col min="5" max="5" width="9.28125" style="62" customWidth="1"/>
    <col min="6" max="6" width="69.140625" style="62" customWidth="1"/>
    <col min="7" max="7" width="22.28125" style="62" customWidth="1"/>
    <col min="8" max="8" width="19.00390625" style="62" customWidth="1"/>
    <col min="9" max="9" width="21.421875" style="62" customWidth="1"/>
    <col min="10" max="10" width="14.00390625" style="62" customWidth="1"/>
    <col min="11" max="16384" width="9.140625" style="62" customWidth="1"/>
  </cols>
  <sheetData>
    <row r="1" spans="7:10" ht="15">
      <c r="G1" s="63"/>
      <c r="H1" s="63"/>
      <c r="J1" s="63"/>
    </row>
    <row r="3" spans="1:10" ht="22.5">
      <c r="A3" s="64" t="s">
        <v>71</v>
      </c>
      <c r="B3" s="65"/>
      <c r="C3" s="65"/>
      <c r="D3" s="65"/>
      <c r="E3" s="65"/>
      <c r="F3" s="65"/>
      <c r="G3" s="65"/>
      <c r="H3" s="65"/>
      <c r="I3" s="66"/>
      <c r="J3" s="66"/>
    </row>
    <row r="4" spans="1:9" ht="24.75" customHeight="1">
      <c r="A4" s="64" t="s">
        <v>72</v>
      </c>
      <c r="B4" s="64"/>
      <c r="C4" s="64"/>
      <c r="D4" s="64"/>
      <c r="E4" s="67"/>
      <c r="F4" s="67"/>
      <c r="G4" s="66"/>
      <c r="H4" s="66"/>
      <c r="I4" s="66"/>
    </row>
    <row r="5" spans="2:10" ht="15.75" thickBot="1">
      <c r="B5" s="68"/>
      <c r="C5" s="68"/>
      <c r="G5" s="69"/>
      <c r="H5" s="69"/>
      <c r="I5" s="63"/>
      <c r="J5" s="70" t="s">
        <v>73</v>
      </c>
    </row>
    <row r="6" spans="1:10" ht="24" customHeight="1">
      <c r="A6" s="71" t="s">
        <v>74</v>
      </c>
      <c r="B6" s="72" t="s">
        <v>75</v>
      </c>
      <c r="C6" s="73"/>
      <c r="D6" s="73"/>
      <c r="E6" s="74"/>
      <c r="F6" s="75" t="s">
        <v>76</v>
      </c>
      <c r="G6" s="75" t="s">
        <v>77</v>
      </c>
      <c r="H6" s="75" t="s">
        <v>78</v>
      </c>
      <c r="I6" s="75" t="s">
        <v>78</v>
      </c>
      <c r="J6" s="75" t="s">
        <v>79</v>
      </c>
    </row>
    <row r="7" spans="1:10" ht="17.25" customHeight="1">
      <c r="A7" s="76" t="s">
        <v>80</v>
      </c>
      <c r="B7" s="77" t="s">
        <v>81</v>
      </c>
      <c r="C7" s="78" t="s">
        <v>82</v>
      </c>
      <c r="D7" s="79" t="s">
        <v>83</v>
      </c>
      <c r="E7" s="80" t="s">
        <v>84</v>
      </c>
      <c r="F7" s="81"/>
      <c r="G7" s="82" t="s">
        <v>85</v>
      </c>
      <c r="H7" s="82" t="s">
        <v>86</v>
      </c>
      <c r="I7" s="82" t="s">
        <v>87</v>
      </c>
      <c r="J7" s="82" t="s">
        <v>88</v>
      </c>
    </row>
    <row r="8" spans="1:10" ht="13.5">
      <c r="A8" s="83" t="s">
        <v>89</v>
      </c>
      <c r="B8" s="84" t="s">
        <v>90</v>
      </c>
      <c r="C8" s="78"/>
      <c r="D8" s="78"/>
      <c r="E8" s="85" t="s">
        <v>91</v>
      </c>
      <c r="F8" s="86"/>
      <c r="G8" s="82" t="s">
        <v>92</v>
      </c>
      <c r="H8" s="87" t="s">
        <v>93</v>
      </c>
      <c r="I8" s="87"/>
      <c r="J8" s="88" t="s">
        <v>94</v>
      </c>
    </row>
    <row r="9" spans="1:10" ht="15.75" thickBot="1">
      <c r="A9" s="83" t="s">
        <v>95</v>
      </c>
      <c r="B9" s="89"/>
      <c r="C9" s="90"/>
      <c r="D9" s="90"/>
      <c r="E9" s="91"/>
      <c r="F9" s="92"/>
      <c r="G9" s="87"/>
      <c r="H9" s="93"/>
      <c r="I9" s="94"/>
      <c r="J9" s="95"/>
    </row>
    <row r="10" spans="1:10" ht="15" thickBot="1">
      <c r="A10" s="96" t="s">
        <v>6</v>
      </c>
      <c r="B10" s="97" t="s">
        <v>96</v>
      </c>
      <c r="C10" s="98" t="s">
        <v>97</v>
      </c>
      <c r="D10" s="98" t="s">
        <v>98</v>
      </c>
      <c r="E10" s="99" t="s">
        <v>99</v>
      </c>
      <c r="F10" s="99" t="s">
        <v>100</v>
      </c>
      <c r="G10" s="99">
        <v>1</v>
      </c>
      <c r="H10" s="99">
        <v>2</v>
      </c>
      <c r="I10" s="99">
        <v>3</v>
      </c>
      <c r="J10" s="99">
        <v>4</v>
      </c>
    </row>
    <row r="11" spans="1:12" ht="24.75" customHeight="1">
      <c r="A11" s="100" t="s">
        <v>101</v>
      </c>
      <c r="B11" s="101" t="s">
        <v>102</v>
      </c>
      <c r="C11" s="102"/>
      <c r="D11" s="103"/>
      <c r="E11" s="104"/>
      <c r="F11" s="105" t="s">
        <v>103</v>
      </c>
      <c r="G11" s="106">
        <f>SUM(G12+G20+G32+G84)</f>
        <v>60917533</v>
      </c>
      <c r="H11" s="106">
        <f>SUM(H12+H20+H32+H84)</f>
        <v>5358423</v>
      </c>
      <c r="I11" s="106">
        <f>SUM(I12+I20+I32+I84)</f>
        <v>60295904</v>
      </c>
      <c r="J11" s="107">
        <f aca="true" t="shared" si="0" ref="J11:J17">SUM($I11/G11)*100</f>
        <v>98.97955650961768</v>
      </c>
      <c r="L11" s="108"/>
    </row>
    <row r="12" spans="1:12" ht="18.75" customHeight="1">
      <c r="A12" s="109" t="s">
        <v>101</v>
      </c>
      <c r="B12" s="110"/>
      <c r="C12" s="111" t="s">
        <v>104</v>
      </c>
      <c r="D12" s="111"/>
      <c r="E12" s="112"/>
      <c r="F12" s="113" t="s">
        <v>105</v>
      </c>
      <c r="G12" s="114">
        <f>SUM(G13+G14+G16+G17+G18+G19)</f>
        <v>33743095</v>
      </c>
      <c r="H12" s="114">
        <f>SUM(H13+H14+H16+H17+H18+H19)</f>
        <v>2612481</v>
      </c>
      <c r="I12" s="114">
        <f>SUM(I13+I14+I16+I17+I18+I19)</f>
        <v>33934558</v>
      </c>
      <c r="J12" s="115">
        <f t="shared" si="0"/>
        <v>100.56741386645179</v>
      </c>
      <c r="L12" s="108"/>
    </row>
    <row r="13" spans="1:12" ht="18.75" customHeight="1">
      <c r="A13" s="116" t="s">
        <v>101</v>
      </c>
      <c r="B13" s="110"/>
      <c r="C13" s="111"/>
      <c r="D13" s="117" t="s">
        <v>106</v>
      </c>
      <c r="E13" s="118"/>
      <c r="F13" s="119" t="s">
        <v>107</v>
      </c>
      <c r="G13" s="120">
        <v>32629729</v>
      </c>
      <c r="H13" s="120">
        <v>3290566</v>
      </c>
      <c r="I13" s="120">
        <v>31472426</v>
      </c>
      <c r="J13" s="121">
        <f t="shared" si="0"/>
        <v>96.45322521679539</v>
      </c>
      <c r="L13" s="108"/>
    </row>
    <row r="14" spans="1:12" ht="18.75" customHeight="1">
      <c r="A14" s="116" t="s">
        <v>101</v>
      </c>
      <c r="B14" s="110"/>
      <c r="C14" s="111"/>
      <c r="D14" s="117" t="s">
        <v>108</v>
      </c>
      <c r="E14" s="118"/>
      <c r="F14" s="119" t="s">
        <v>109</v>
      </c>
      <c r="G14" s="120">
        <f>SUM(G15:G15)</f>
        <v>22911</v>
      </c>
      <c r="H14" s="120">
        <f>SUM(H15:H15)</f>
        <v>12240</v>
      </c>
      <c r="I14" s="120">
        <f>SUM(I15:I15)</f>
        <v>119670</v>
      </c>
      <c r="J14" s="121">
        <f t="shared" si="0"/>
        <v>522.3255204923399</v>
      </c>
      <c r="L14" s="108"/>
    </row>
    <row r="15" spans="1:12" ht="18.75" customHeight="1">
      <c r="A15" s="122" t="s">
        <v>101</v>
      </c>
      <c r="B15" s="123"/>
      <c r="C15" s="124"/>
      <c r="D15" s="125"/>
      <c r="E15" s="126" t="s">
        <v>110</v>
      </c>
      <c r="F15" s="127" t="s">
        <v>111</v>
      </c>
      <c r="G15" s="128">
        <v>22911</v>
      </c>
      <c r="H15" s="128">
        <v>12240</v>
      </c>
      <c r="I15" s="128">
        <v>119670</v>
      </c>
      <c r="J15" s="129">
        <f t="shared" si="0"/>
        <v>522.3255204923399</v>
      </c>
      <c r="L15" s="108"/>
    </row>
    <row r="16" spans="1:12" ht="18.75" customHeight="1">
      <c r="A16" s="116" t="s">
        <v>101</v>
      </c>
      <c r="B16" s="110"/>
      <c r="C16" s="111"/>
      <c r="D16" s="117" t="s">
        <v>112</v>
      </c>
      <c r="E16" s="118"/>
      <c r="F16" s="119" t="s">
        <v>113</v>
      </c>
      <c r="G16" s="120">
        <v>191</v>
      </c>
      <c r="H16" s="120">
        <v>438</v>
      </c>
      <c r="I16" s="120">
        <v>9641</v>
      </c>
      <c r="J16" s="121">
        <f t="shared" si="0"/>
        <v>5047.643979057591</v>
      </c>
      <c r="L16" s="108"/>
    </row>
    <row r="17" spans="1:12" ht="18.75" customHeight="1">
      <c r="A17" s="116" t="s">
        <v>101</v>
      </c>
      <c r="B17" s="110"/>
      <c r="C17" s="111"/>
      <c r="D17" s="117" t="s">
        <v>114</v>
      </c>
      <c r="E17" s="118"/>
      <c r="F17" s="119" t="s">
        <v>115</v>
      </c>
      <c r="G17" s="120">
        <v>1090264</v>
      </c>
      <c r="H17" s="120">
        <v>-690763</v>
      </c>
      <c r="I17" s="120">
        <v>2332821</v>
      </c>
      <c r="J17" s="121">
        <f t="shared" si="0"/>
        <v>213.96845167775876</v>
      </c>
      <c r="L17" s="108"/>
    </row>
    <row r="18" spans="1:12" ht="18.75" customHeight="1" hidden="1">
      <c r="A18" s="116"/>
      <c r="B18" s="110"/>
      <c r="C18" s="111"/>
      <c r="D18" s="117" t="s">
        <v>116</v>
      </c>
      <c r="E18" s="118"/>
      <c r="F18" s="119" t="s">
        <v>117</v>
      </c>
      <c r="G18" s="120">
        <v>0</v>
      </c>
      <c r="H18" s="120">
        <v>0</v>
      </c>
      <c r="I18" s="120">
        <v>0</v>
      </c>
      <c r="J18" s="121">
        <v>0</v>
      </c>
      <c r="L18" s="108"/>
    </row>
    <row r="19" spans="1:12" ht="18.75" customHeight="1" hidden="1">
      <c r="A19" s="116"/>
      <c r="B19" s="110"/>
      <c r="C19" s="111"/>
      <c r="D19" s="117" t="s">
        <v>118</v>
      </c>
      <c r="E19" s="118"/>
      <c r="F19" s="119" t="s">
        <v>119</v>
      </c>
      <c r="G19" s="120">
        <v>0</v>
      </c>
      <c r="H19" s="120">
        <v>0</v>
      </c>
      <c r="I19" s="120">
        <v>0</v>
      </c>
      <c r="J19" s="121">
        <v>0</v>
      </c>
      <c r="L19" s="108"/>
    </row>
    <row r="20" spans="1:12" ht="18.75" customHeight="1">
      <c r="A20" s="109" t="s">
        <v>101</v>
      </c>
      <c r="B20" s="130"/>
      <c r="C20" s="131" t="s">
        <v>120</v>
      </c>
      <c r="D20" s="131"/>
      <c r="E20" s="132"/>
      <c r="F20" s="133" t="s">
        <v>121</v>
      </c>
      <c r="G20" s="134">
        <v>13114892</v>
      </c>
      <c r="H20" s="135">
        <v>956164</v>
      </c>
      <c r="I20" s="135">
        <v>12884741</v>
      </c>
      <c r="J20" s="115">
        <f aca="true" t="shared" si="1" ref="J20:J62">SUM($I20/G20)*100</f>
        <v>98.24511707759392</v>
      </c>
      <c r="L20" s="108"/>
    </row>
    <row r="21" spans="1:12" ht="18.75" customHeight="1" hidden="1">
      <c r="A21" s="116" t="s">
        <v>101</v>
      </c>
      <c r="B21" s="123"/>
      <c r="C21" s="124"/>
      <c r="D21" s="136" t="s">
        <v>122</v>
      </c>
      <c r="E21" s="137"/>
      <c r="F21" s="138" t="s">
        <v>123</v>
      </c>
      <c r="G21" s="120"/>
      <c r="H21" s="120"/>
      <c r="I21" s="120"/>
      <c r="J21" s="121" t="e">
        <f t="shared" si="1"/>
        <v>#DIV/0!</v>
      </c>
      <c r="L21" s="108"/>
    </row>
    <row r="22" spans="1:12" ht="18.75" customHeight="1" hidden="1">
      <c r="A22" s="116" t="s">
        <v>101</v>
      </c>
      <c r="B22" s="123"/>
      <c r="C22" s="124"/>
      <c r="D22" s="136" t="s">
        <v>124</v>
      </c>
      <c r="E22" s="137"/>
      <c r="F22" s="138" t="s">
        <v>125</v>
      </c>
      <c r="G22" s="120"/>
      <c r="H22" s="120"/>
      <c r="I22" s="120"/>
      <c r="J22" s="121" t="e">
        <f t="shared" si="1"/>
        <v>#DIV/0!</v>
      </c>
      <c r="L22" s="108"/>
    </row>
    <row r="23" spans="1:12" ht="18.75" customHeight="1" hidden="1">
      <c r="A23" s="116" t="s">
        <v>101</v>
      </c>
      <c r="B23" s="123"/>
      <c r="C23" s="124"/>
      <c r="D23" s="136" t="s">
        <v>126</v>
      </c>
      <c r="E23" s="137"/>
      <c r="F23" s="138" t="s">
        <v>127</v>
      </c>
      <c r="G23" s="120"/>
      <c r="H23" s="120">
        <f>SUM(H24:H30)</f>
        <v>0</v>
      </c>
      <c r="I23" s="120">
        <f>SUM(I24:I30)</f>
        <v>0</v>
      </c>
      <c r="J23" s="121" t="e">
        <f t="shared" si="1"/>
        <v>#DIV/0!</v>
      </c>
      <c r="L23" s="108"/>
    </row>
    <row r="24" spans="1:12" ht="18.75" customHeight="1" hidden="1">
      <c r="A24" s="122" t="s">
        <v>101</v>
      </c>
      <c r="B24" s="123"/>
      <c r="C24" s="124"/>
      <c r="D24" s="125"/>
      <c r="E24" s="126" t="s">
        <v>128</v>
      </c>
      <c r="F24" s="139" t="s">
        <v>129</v>
      </c>
      <c r="G24" s="128"/>
      <c r="H24" s="128"/>
      <c r="I24" s="128"/>
      <c r="J24" s="129" t="e">
        <f t="shared" si="1"/>
        <v>#DIV/0!</v>
      </c>
      <c r="L24" s="108"/>
    </row>
    <row r="25" spans="1:12" ht="18.75" customHeight="1" hidden="1">
      <c r="A25" s="122" t="s">
        <v>101</v>
      </c>
      <c r="B25" s="123"/>
      <c r="C25" s="124"/>
      <c r="D25" s="125"/>
      <c r="E25" s="126" t="s">
        <v>130</v>
      </c>
      <c r="F25" s="127" t="s">
        <v>131</v>
      </c>
      <c r="G25" s="128"/>
      <c r="H25" s="128"/>
      <c r="I25" s="128"/>
      <c r="J25" s="129" t="e">
        <f t="shared" si="1"/>
        <v>#DIV/0!</v>
      </c>
      <c r="L25" s="108"/>
    </row>
    <row r="26" spans="1:12" ht="18.75" customHeight="1" hidden="1">
      <c r="A26" s="122" t="s">
        <v>101</v>
      </c>
      <c r="B26" s="123"/>
      <c r="C26" s="124"/>
      <c r="D26" s="125"/>
      <c r="E26" s="126" t="s">
        <v>132</v>
      </c>
      <c r="F26" s="140" t="s">
        <v>133</v>
      </c>
      <c r="G26" s="128"/>
      <c r="H26" s="128"/>
      <c r="I26" s="128"/>
      <c r="J26" s="129" t="e">
        <f t="shared" si="1"/>
        <v>#DIV/0!</v>
      </c>
      <c r="L26" s="108"/>
    </row>
    <row r="27" spans="1:12" ht="18.75" customHeight="1" hidden="1">
      <c r="A27" s="122" t="s">
        <v>101</v>
      </c>
      <c r="B27" s="123"/>
      <c r="C27" s="124"/>
      <c r="D27" s="125"/>
      <c r="E27" s="126" t="s">
        <v>134</v>
      </c>
      <c r="F27" s="140" t="s">
        <v>135</v>
      </c>
      <c r="G27" s="128"/>
      <c r="H27" s="128"/>
      <c r="I27" s="128"/>
      <c r="J27" s="129" t="e">
        <f t="shared" si="1"/>
        <v>#DIV/0!</v>
      </c>
      <c r="L27" s="108"/>
    </row>
    <row r="28" spans="1:12" ht="18.75" customHeight="1" hidden="1">
      <c r="A28" s="122" t="s">
        <v>101</v>
      </c>
      <c r="B28" s="123"/>
      <c r="C28" s="124"/>
      <c r="D28" s="125"/>
      <c r="E28" s="126" t="s">
        <v>136</v>
      </c>
      <c r="F28" s="140" t="s">
        <v>137</v>
      </c>
      <c r="G28" s="128"/>
      <c r="H28" s="128"/>
      <c r="I28" s="128"/>
      <c r="J28" s="129" t="e">
        <f t="shared" si="1"/>
        <v>#DIV/0!</v>
      </c>
      <c r="L28" s="108"/>
    </row>
    <row r="29" spans="1:12" ht="18.75" customHeight="1" hidden="1">
      <c r="A29" s="122" t="s">
        <v>101</v>
      </c>
      <c r="B29" s="123"/>
      <c r="C29" s="124"/>
      <c r="D29" s="125"/>
      <c r="E29" s="126" t="s">
        <v>138</v>
      </c>
      <c r="F29" s="140" t="s">
        <v>139</v>
      </c>
      <c r="G29" s="128"/>
      <c r="H29" s="128"/>
      <c r="I29" s="128"/>
      <c r="J29" s="129" t="e">
        <f t="shared" si="1"/>
        <v>#DIV/0!</v>
      </c>
      <c r="L29" s="108"/>
    </row>
    <row r="30" spans="1:12" ht="18.75" customHeight="1" hidden="1">
      <c r="A30" s="122" t="s">
        <v>101</v>
      </c>
      <c r="B30" s="123"/>
      <c r="C30" s="124"/>
      <c r="D30" s="125"/>
      <c r="E30" s="126" t="s">
        <v>140</v>
      </c>
      <c r="F30" s="140" t="s">
        <v>141</v>
      </c>
      <c r="G30" s="128"/>
      <c r="H30" s="128"/>
      <c r="I30" s="128"/>
      <c r="J30" s="129" t="e">
        <f t="shared" si="1"/>
        <v>#DIV/0!</v>
      </c>
      <c r="L30" s="108"/>
    </row>
    <row r="31" spans="1:12" ht="18.75" customHeight="1" hidden="1">
      <c r="A31" s="116" t="s">
        <v>101</v>
      </c>
      <c r="B31" s="123"/>
      <c r="C31" s="124"/>
      <c r="D31" s="136" t="s">
        <v>142</v>
      </c>
      <c r="E31" s="141"/>
      <c r="F31" s="142" t="s">
        <v>143</v>
      </c>
      <c r="G31" s="120"/>
      <c r="H31" s="120"/>
      <c r="I31" s="120"/>
      <c r="J31" s="121" t="e">
        <f t="shared" si="1"/>
        <v>#DIV/0!</v>
      </c>
      <c r="L31" s="108"/>
    </row>
    <row r="32" spans="1:12" ht="18.75" customHeight="1">
      <c r="A32" s="109" t="s">
        <v>101</v>
      </c>
      <c r="B32" s="130"/>
      <c r="C32" s="143" t="s">
        <v>144</v>
      </c>
      <c r="D32" s="131"/>
      <c r="E32" s="144"/>
      <c r="F32" s="133" t="s">
        <v>145</v>
      </c>
      <c r="G32" s="145">
        <f>SUM(G33+G36+G40+G49+G60+G55+G64)</f>
        <v>13078028</v>
      </c>
      <c r="H32" s="145">
        <f>SUM(H33+H36+H40+H49+H60+H55+H64)</f>
        <v>1766050</v>
      </c>
      <c r="I32" s="145">
        <f>SUM(I33+I36+I40+I49+I60+I55+I64)</f>
        <v>12684342</v>
      </c>
      <c r="J32" s="115">
        <f t="shared" si="1"/>
        <v>96.98971435142974</v>
      </c>
      <c r="L32" s="108"/>
    </row>
    <row r="33" spans="1:12" ht="18.75" customHeight="1">
      <c r="A33" s="116" t="s">
        <v>101</v>
      </c>
      <c r="B33" s="146"/>
      <c r="C33" s="147"/>
      <c r="D33" s="117" t="s">
        <v>146</v>
      </c>
      <c r="E33" s="148"/>
      <c r="F33" s="119" t="s">
        <v>147</v>
      </c>
      <c r="G33" s="149">
        <f>SUM(G34:G35)</f>
        <v>117603</v>
      </c>
      <c r="H33" s="149">
        <f>SUM(H34:H35)</f>
        <v>6965</v>
      </c>
      <c r="I33" s="149">
        <f>SUM(I34:I35)</f>
        <v>103208</v>
      </c>
      <c r="J33" s="121">
        <f t="shared" si="1"/>
        <v>87.7596659949151</v>
      </c>
      <c r="L33" s="108"/>
    </row>
    <row r="34" spans="1:12" ht="18.75" customHeight="1">
      <c r="A34" s="122" t="s">
        <v>101</v>
      </c>
      <c r="B34" s="146"/>
      <c r="C34" s="150"/>
      <c r="D34" s="151"/>
      <c r="E34" s="152">
        <v>631001</v>
      </c>
      <c r="F34" s="153" t="s">
        <v>148</v>
      </c>
      <c r="G34" s="154">
        <v>115310</v>
      </c>
      <c r="H34" s="154">
        <v>6888</v>
      </c>
      <c r="I34" s="154">
        <v>101183</v>
      </c>
      <c r="J34" s="129">
        <f t="shared" si="1"/>
        <v>87.74867747810251</v>
      </c>
      <c r="L34" s="108"/>
    </row>
    <row r="35" spans="1:12" ht="18.75" customHeight="1">
      <c r="A35" s="122" t="s">
        <v>101</v>
      </c>
      <c r="B35" s="146"/>
      <c r="C35" s="150"/>
      <c r="D35" s="151"/>
      <c r="E35" s="152">
        <v>631004</v>
      </c>
      <c r="F35" s="153" t="s">
        <v>149</v>
      </c>
      <c r="G35" s="154">
        <v>2293</v>
      </c>
      <c r="H35" s="154">
        <v>77</v>
      </c>
      <c r="I35" s="154">
        <v>2025</v>
      </c>
      <c r="J35" s="129">
        <f t="shared" si="1"/>
        <v>88.31225468818143</v>
      </c>
      <c r="L35" s="108"/>
    </row>
    <row r="36" spans="1:12" ht="18.75" customHeight="1">
      <c r="A36" s="116" t="s">
        <v>101</v>
      </c>
      <c r="B36" s="146"/>
      <c r="C36" s="147"/>
      <c r="D36" s="117" t="s">
        <v>150</v>
      </c>
      <c r="E36" s="148"/>
      <c r="F36" s="119" t="s">
        <v>151</v>
      </c>
      <c r="G36" s="149">
        <f>SUM(G37:G39)</f>
        <v>4068701</v>
      </c>
      <c r="H36" s="149">
        <f>SUM(H37:H39)</f>
        <v>625539</v>
      </c>
      <c r="I36" s="149">
        <f>SUM(I37:I39)</f>
        <v>4718353</v>
      </c>
      <c r="J36" s="121">
        <f t="shared" si="1"/>
        <v>115.96706172313964</v>
      </c>
      <c r="L36" s="108"/>
    </row>
    <row r="37" spans="1:12" ht="18.75" customHeight="1">
      <c r="A37" s="122" t="s">
        <v>101</v>
      </c>
      <c r="B37" s="146"/>
      <c r="C37" s="147"/>
      <c r="D37" s="155"/>
      <c r="E37" s="156">
        <v>632001</v>
      </c>
      <c r="F37" s="157" t="s">
        <v>152</v>
      </c>
      <c r="G37" s="154">
        <v>1148447</v>
      </c>
      <c r="H37" s="154">
        <f>36793+140273</f>
        <v>177066</v>
      </c>
      <c r="I37" s="154">
        <f>1121054+140273</f>
        <v>1261327</v>
      </c>
      <c r="J37" s="129">
        <f t="shared" si="1"/>
        <v>109.82892549677956</v>
      </c>
      <c r="L37" s="108"/>
    </row>
    <row r="38" spans="1:12" ht="18.75" customHeight="1">
      <c r="A38" s="122" t="s">
        <v>101</v>
      </c>
      <c r="B38" s="146"/>
      <c r="C38" s="147"/>
      <c r="D38" s="155"/>
      <c r="E38" s="156">
        <v>632002</v>
      </c>
      <c r="F38" s="157" t="s">
        <v>153</v>
      </c>
      <c r="G38" s="154">
        <v>102338</v>
      </c>
      <c r="H38" s="154">
        <v>16346</v>
      </c>
      <c r="I38" s="154">
        <v>97712</v>
      </c>
      <c r="J38" s="129">
        <f t="shared" si="1"/>
        <v>95.47968496550646</v>
      </c>
      <c r="L38" s="108"/>
    </row>
    <row r="39" spans="1:12" ht="18.75" customHeight="1">
      <c r="A39" s="122" t="s">
        <v>101</v>
      </c>
      <c r="B39" s="146"/>
      <c r="C39" s="147"/>
      <c r="D39" s="155"/>
      <c r="E39" s="156">
        <v>632003</v>
      </c>
      <c r="F39" s="158" t="s">
        <v>154</v>
      </c>
      <c r="G39" s="154">
        <v>2817916</v>
      </c>
      <c r="H39" s="154">
        <f>415894+16233</f>
        <v>432127</v>
      </c>
      <c r="I39" s="154">
        <f>3343081+16233</f>
        <v>3359314</v>
      </c>
      <c r="J39" s="129">
        <f t="shared" si="1"/>
        <v>119.21270896648446</v>
      </c>
      <c r="L39" s="108"/>
    </row>
    <row r="40" spans="1:12" ht="18.75" customHeight="1">
      <c r="A40" s="116" t="s">
        <v>101</v>
      </c>
      <c r="B40" s="146"/>
      <c r="C40" s="147"/>
      <c r="D40" s="117" t="s">
        <v>155</v>
      </c>
      <c r="E40" s="148"/>
      <c r="F40" s="119" t="s">
        <v>156</v>
      </c>
      <c r="G40" s="149">
        <f>SUM(G41:G48)</f>
        <v>941344</v>
      </c>
      <c r="H40" s="149">
        <f>SUM(H41:H48)</f>
        <v>269863</v>
      </c>
      <c r="I40" s="149">
        <f>SUM(I41:I48)</f>
        <v>952924</v>
      </c>
      <c r="J40" s="121">
        <f t="shared" si="1"/>
        <v>101.23015603222628</v>
      </c>
      <c r="L40" s="108"/>
    </row>
    <row r="41" spans="1:12" ht="18.75" customHeight="1">
      <c r="A41" s="122" t="s">
        <v>101</v>
      </c>
      <c r="B41" s="146"/>
      <c r="C41" s="147"/>
      <c r="D41" s="159"/>
      <c r="E41" s="160" t="s">
        <v>157</v>
      </c>
      <c r="F41" s="161" t="s">
        <v>158</v>
      </c>
      <c r="G41" s="162">
        <v>11166</v>
      </c>
      <c r="H41" s="162">
        <v>10694</v>
      </c>
      <c r="I41" s="162">
        <v>20742</v>
      </c>
      <c r="J41" s="129">
        <f t="shared" si="1"/>
        <v>185.76034390112844</v>
      </c>
      <c r="L41" s="108"/>
    </row>
    <row r="42" spans="1:12" ht="18.75" customHeight="1">
      <c r="A42" s="122" t="s">
        <v>101</v>
      </c>
      <c r="B42" s="146"/>
      <c r="C42" s="147"/>
      <c r="D42" s="159"/>
      <c r="E42" s="160" t="s">
        <v>159</v>
      </c>
      <c r="F42" s="161" t="s">
        <v>160</v>
      </c>
      <c r="G42" s="162">
        <v>0</v>
      </c>
      <c r="H42" s="162">
        <v>0</v>
      </c>
      <c r="I42" s="162">
        <v>101</v>
      </c>
      <c r="J42" s="129">
        <v>0</v>
      </c>
      <c r="L42" s="108"/>
    </row>
    <row r="43" spans="1:12" ht="18.75" customHeight="1">
      <c r="A43" s="122" t="s">
        <v>101</v>
      </c>
      <c r="B43" s="146"/>
      <c r="C43" s="147"/>
      <c r="D43" s="159"/>
      <c r="E43" s="160" t="s">
        <v>161</v>
      </c>
      <c r="F43" s="161" t="s">
        <v>162</v>
      </c>
      <c r="G43" s="162">
        <v>0</v>
      </c>
      <c r="H43" s="162">
        <v>0</v>
      </c>
      <c r="I43" s="162">
        <v>38</v>
      </c>
      <c r="J43" s="129">
        <v>0</v>
      </c>
      <c r="L43" s="108"/>
    </row>
    <row r="44" spans="1:12" ht="18.75" customHeight="1">
      <c r="A44" s="122" t="s">
        <v>101</v>
      </c>
      <c r="B44" s="146"/>
      <c r="C44" s="147"/>
      <c r="D44" s="159"/>
      <c r="E44" s="160" t="s">
        <v>163</v>
      </c>
      <c r="F44" s="161" t="s">
        <v>164</v>
      </c>
      <c r="G44" s="162">
        <v>1076</v>
      </c>
      <c r="H44" s="162">
        <v>2012</v>
      </c>
      <c r="I44" s="162">
        <v>3019</v>
      </c>
      <c r="J44" s="129">
        <f t="shared" si="1"/>
        <v>280.57620817843866</v>
      </c>
      <c r="L44" s="108"/>
    </row>
    <row r="45" spans="1:12" ht="18.75" customHeight="1">
      <c r="A45" s="122" t="s">
        <v>101</v>
      </c>
      <c r="B45" s="146"/>
      <c r="C45" s="147"/>
      <c r="D45" s="159"/>
      <c r="E45" s="160" t="s">
        <v>165</v>
      </c>
      <c r="F45" s="161" t="s">
        <v>166</v>
      </c>
      <c r="G45" s="162">
        <v>905988</v>
      </c>
      <c r="H45" s="162">
        <v>251363</v>
      </c>
      <c r="I45" s="162">
        <v>908816</v>
      </c>
      <c r="J45" s="129">
        <f t="shared" si="1"/>
        <v>100.31214541472954</v>
      </c>
      <c r="L45" s="108"/>
    </row>
    <row r="46" spans="1:12" ht="18.75" customHeight="1">
      <c r="A46" s="122" t="s">
        <v>101</v>
      </c>
      <c r="B46" s="146"/>
      <c r="C46" s="147"/>
      <c r="D46" s="159"/>
      <c r="E46" s="160" t="s">
        <v>167</v>
      </c>
      <c r="F46" s="161" t="s">
        <v>168</v>
      </c>
      <c r="G46" s="162">
        <v>3820</v>
      </c>
      <c r="H46" s="162">
        <f>360+865</f>
        <v>1225</v>
      </c>
      <c r="I46" s="162">
        <f>5316+865</f>
        <v>6181</v>
      </c>
      <c r="J46" s="129">
        <f t="shared" si="1"/>
        <v>161.8062827225131</v>
      </c>
      <c r="L46" s="108"/>
    </row>
    <row r="47" spans="1:12" ht="18.75" customHeight="1">
      <c r="A47" s="122" t="s">
        <v>101</v>
      </c>
      <c r="B47" s="146"/>
      <c r="C47" s="147"/>
      <c r="D47" s="159"/>
      <c r="E47" s="160" t="s">
        <v>169</v>
      </c>
      <c r="F47" s="161" t="s">
        <v>170</v>
      </c>
      <c r="G47" s="162">
        <v>8047</v>
      </c>
      <c r="H47" s="162">
        <v>1638</v>
      </c>
      <c r="I47" s="162">
        <v>3639</v>
      </c>
      <c r="J47" s="129">
        <f t="shared" si="1"/>
        <v>45.22182179694296</v>
      </c>
      <c r="L47" s="108"/>
    </row>
    <row r="48" spans="1:12" ht="18.75" customHeight="1">
      <c r="A48" s="122" t="s">
        <v>101</v>
      </c>
      <c r="B48" s="146"/>
      <c r="C48" s="147"/>
      <c r="D48" s="159"/>
      <c r="E48" s="160" t="s">
        <v>171</v>
      </c>
      <c r="F48" s="161" t="s">
        <v>172</v>
      </c>
      <c r="G48" s="162">
        <v>11247</v>
      </c>
      <c r="H48" s="162">
        <v>2931</v>
      </c>
      <c r="I48" s="162">
        <v>10388</v>
      </c>
      <c r="J48" s="129">
        <f t="shared" si="1"/>
        <v>92.36240775317862</v>
      </c>
      <c r="L48" s="108"/>
    </row>
    <row r="49" spans="1:12" ht="18.75" customHeight="1">
      <c r="A49" s="116" t="s">
        <v>101</v>
      </c>
      <c r="B49" s="146"/>
      <c r="C49" s="147"/>
      <c r="D49" s="117" t="s">
        <v>173</v>
      </c>
      <c r="E49" s="148"/>
      <c r="F49" s="119" t="s">
        <v>174</v>
      </c>
      <c r="G49" s="149">
        <f>SUM(G50:G54)</f>
        <v>195810</v>
      </c>
      <c r="H49" s="149">
        <f>SUM(H50:H54)</f>
        <v>27448</v>
      </c>
      <c r="I49" s="149">
        <f>SUM(I50:I54)</f>
        <v>220522</v>
      </c>
      <c r="J49" s="121">
        <f t="shared" si="1"/>
        <v>112.62039732393647</v>
      </c>
      <c r="L49" s="108"/>
    </row>
    <row r="50" spans="1:12" ht="18.75" customHeight="1">
      <c r="A50" s="122" t="s">
        <v>101</v>
      </c>
      <c r="B50" s="146"/>
      <c r="C50" s="147"/>
      <c r="D50" s="155"/>
      <c r="E50" s="156">
        <v>634001</v>
      </c>
      <c r="F50" s="163" t="s">
        <v>175</v>
      </c>
      <c r="G50" s="154">
        <v>153674</v>
      </c>
      <c r="H50" s="154">
        <f>20148+41</f>
        <v>20189</v>
      </c>
      <c r="I50" s="154">
        <f>156685+41</f>
        <v>156726</v>
      </c>
      <c r="J50" s="129">
        <f t="shared" si="1"/>
        <v>101.98602235901974</v>
      </c>
      <c r="L50" s="108"/>
    </row>
    <row r="51" spans="1:12" ht="18.75" customHeight="1">
      <c r="A51" s="122" t="s">
        <v>101</v>
      </c>
      <c r="B51" s="146"/>
      <c r="C51" s="147"/>
      <c r="D51" s="155"/>
      <c r="E51" s="156">
        <v>634002</v>
      </c>
      <c r="F51" s="163" t="s">
        <v>176</v>
      </c>
      <c r="G51" s="154">
        <v>23237</v>
      </c>
      <c r="H51" s="154">
        <v>7094</v>
      </c>
      <c r="I51" s="154">
        <v>43844</v>
      </c>
      <c r="J51" s="129">
        <f t="shared" si="1"/>
        <v>188.68184361148167</v>
      </c>
      <c r="L51" s="108"/>
    </row>
    <row r="52" spans="1:12" ht="18.75" customHeight="1">
      <c r="A52" s="122" t="s">
        <v>101</v>
      </c>
      <c r="B52" s="146"/>
      <c r="C52" s="147"/>
      <c r="D52" s="164"/>
      <c r="E52" s="165" t="s">
        <v>177</v>
      </c>
      <c r="F52" s="161" t="s">
        <v>178</v>
      </c>
      <c r="G52" s="154">
        <v>13057</v>
      </c>
      <c r="H52" s="154">
        <v>0</v>
      </c>
      <c r="I52" s="154">
        <v>14825</v>
      </c>
      <c r="J52" s="129">
        <f t="shared" si="1"/>
        <v>113.54062954736924</v>
      </c>
      <c r="L52" s="108"/>
    </row>
    <row r="53" spans="1:12" ht="18.75" customHeight="1">
      <c r="A53" s="122" t="s">
        <v>101</v>
      </c>
      <c r="B53" s="146"/>
      <c r="C53" s="147"/>
      <c r="D53" s="164"/>
      <c r="E53" s="156">
        <v>634004</v>
      </c>
      <c r="F53" s="166" t="s">
        <v>179</v>
      </c>
      <c r="G53" s="154">
        <v>580</v>
      </c>
      <c r="H53" s="154">
        <v>4</v>
      </c>
      <c r="I53" s="154">
        <v>650</v>
      </c>
      <c r="J53" s="129">
        <f t="shared" si="1"/>
        <v>112.06896551724137</v>
      </c>
      <c r="L53" s="108"/>
    </row>
    <row r="54" spans="1:12" ht="18.75" customHeight="1">
      <c r="A54" s="122" t="s">
        <v>101</v>
      </c>
      <c r="B54" s="146"/>
      <c r="C54" s="147"/>
      <c r="D54" s="164"/>
      <c r="E54" s="156">
        <v>634005</v>
      </c>
      <c r="F54" s="166" t="s">
        <v>180</v>
      </c>
      <c r="G54" s="154">
        <v>5262</v>
      </c>
      <c r="H54" s="154">
        <v>161</v>
      </c>
      <c r="I54" s="154">
        <v>4477</v>
      </c>
      <c r="J54" s="129">
        <f t="shared" si="1"/>
        <v>85.08171797795515</v>
      </c>
      <c r="L54" s="108"/>
    </row>
    <row r="55" spans="1:12" ht="18.75" customHeight="1">
      <c r="A55" s="116" t="s">
        <v>101</v>
      </c>
      <c r="B55" s="146"/>
      <c r="C55" s="147"/>
      <c r="D55" s="117" t="s">
        <v>181</v>
      </c>
      <c r="E55" s="167"/>
      <c r="F55" s="119" t="s">
        <v>182</v>
      </c>
      <c r="G55" s="149">
        <f>SUM(G56:G59)</f>
        <v>263196</v>
      </c>
      <c r="H55" s="149">
        <f>SUM(H56:H59)</f>
        <v>86149</v>
      </c>
      <c r="I55" s="149">
        <f>SUM(I56:I59)</f>
        <v>365550</v>
      </c>
      <c r="J55" s="121">
        <f t="shared" si="1"/>
        <v>138.88888888888889</v>
      </c>
      <c r="L55" s="108"/>
    </row>
    <row r="56" spans="1:12" ht="18.75" customHeight="1">
      <c r="A56" s="122" t="s">
        <v>101</v>
      </c>
      <c r="B56" s="146"/>
      <c r="C56" s="147"/>
      <c r="D56" s="155"/>
      <c r="E56" s="156">
        <v>635001</v>
      </c>
      <c r="F56" s="166" t="s">
        <v>183</v>
      </c>
      <c r="G56" s="154">
        <v>805</v>
      </c>
      <c r="H56" s="154">
        <v>40</v>
      </c>
      <c r="I56" s="154">
        <v>127</v>
      </c>
      <c r="J56" s="168">
        <f t="shared" si="1"/>
        <v>15.77639751552795</v>
      </c>
      <c r="L56" s="108"/>
    </row>
    <row r="57" spans="1:12" ht="18.75" customHeight="1">
      <c r="A57" s="122" t="s">
        <v>101</v>
      </c>
      <c r="B57" s="146"/>
      <c r="C57" s="147"/>
      <c r="D57" s="155"/>
      <c r="E57" s="156">
        <v>635002</v>
      </c>
      <c r="F57" s="166" t="s">
        <v>184</v>
      </c>
      <c r="G57" s="154">
        <v>134474</v>
      </c>
      <c r="H57" s="154">
        <v>67019</v>
      </c>
      <c r="I57" s="154">
        <v>289393</v>
      </c>
      <c r="J57" s="168">
        <f t="shared" si="1"/>
        <v>215.20368249624462</v>
      </c>
      <c r="L57" s="108"/>
    </row>
    <row r="58" spans="1:12" ht="18.75" customHeight="1">
      <c r="A58" s="122" t="s">
        <v>101</v>
      </c>
      <c r="B58" s="146"/>
      <c r="C58" s="147"/>
      <c r="D58" s="155"/>
      <c r="E58" s="156">
        <v>635004</v>
      </c>
      <c r="F58" s="166" t="s">
        <v>185</v>
      </c>
      <c r="G58" s="154">
        <v>82722</v>
      </c>
      <c r="H58" s="154">
        <v>12955</v>
      </c>
      <c r="I58" s="154">
        <v>37640</v>
      </c>
      <c r="J58" s="168">
        <f t="shared" si="1"/>
        <v>45.50180121370373</v>
      </c>
      <c r="L58" s="108"/>
    </row>
    <row r="59" spans="1:12" ht="18.75" customHeight="1">
      <c r="A59" s="122" t="s">
        <v>101</v>
      </c>
      <c r="B59" s="146"/>
      <c r="C59" s="147"/>
      <c r="D59" s="155"/>
      <c r="E59" s="156">
        <v>635006</v>
      </c>
      <c r="F59" s="163" t="s">
        <v>186</v>
      </c>
      <c r="G59" s="154">
        <v>45195</v>
      </c>
      <c r="H59" s="154">
        <v>6135</v>
      </c>
      <c r="I59" s="154">
        <v>38390</v>
      </c>
      <c r="J59" s="168">
        <f t="shared" si="1"/>
        <v>84.94302467087067</v>
      </c>
      <c r="L59" s="108"/>
    </row>
    <row r="60" spans="1:12" ht="18.75" customHeight="1">
      <c r="A60" s="116" t="s">
        <v>101</v>
      </c>
      <c r="B60" s="146"/>
      <c r="C60" s="147"/>
      <c r="D60" s="117" t="s">
        <v>187</v>
      </c>
      <c r="E60" s="148"/>
      <c r="F60" s="119" t="s">
        <v>188</v>
      </c>
      <c r="G60" s="149">
        <f>SUM(G61:G63)</f>
        <v>1780954</v>
      </c>
      <c r="H60" s="149">
        <f>SUM(H61:H63)</f>
        <v>113623</v>
      </c>
      <c r="I60" s="149">
        <f>SUM(I61:I63)</f>
        <v>1845980</v>
      </c>
      <c r="J60" s="121">
        <f t="shared" si="1"/>
        <v>103.65118919410608</v>
      </c>
      <c r="L60" s="108"/>
    </row>
    <row r="61" spans="1:12" ht="18.75" customHeight="1">
      <c r="A61" s="122" t="s">
        <v>101</v>
      </c>
      <c r="B61" s="146"/>
      <c r="C61" s="147"/>
      <c r="D61" s="169"/>
      <c r="E61" s="156">
        <v>636001</v>
      </c>
      <c r="F61" s="170" t="s">
        <v>189</v>
      </c>
      <c r="G61" s="154">
        <v>1772397</v>
      </c>
      <c r="H61" s="154">
        <v>110670</v>
      </c>
      <c r="I61" s="154">
        <v>1836849</v>
      </c>
      <c r="J61" s="129">
        <f t="shared" si="1"/>
        <v>103.63643134128529</v>
      </c>
      <c r="L61" s="108"/>
    </row>
    <row r="62" spans="1:12" ht="18" customHeight="1">
      <c r="A62" s="122" t="s">
        <v>101</v>
      </c>
      <c r="B62" s="146"/>
      <c r="C62" s="147"/>
      <c r="D62" s="169"/>
      <c r="E62" s="156">
        <v>636002</v>
      </c>
      <c r="F62" s="170" t="s">
        <v>190</v>
      </c>
      <c r="G62" s="154">
        <v>8557</v>
      </c>
      <c r="H62" s="154">
        <v>2953</v>
      </c>
      <c r="I62" s="154">
        <v>9131</v>
      </c>
      <c r="J62" s="129">
        <f t="shared" si="1"/>
        <v>106.70795839663434</v>
      </c>
      <c r="L62" s="108"/>
    </row>
    <row r="63" spans="1:12" s="179" customFormat="1" ht="21" customHeight="1" hidden="1">
      <c r="A63" s="171" t="s">
        <v>101</v>
      </c>
      <c r="B63" s="172"/>
      <c r="C63" s="173"/>
      <c r="D63" s="174"/>
      <c r="E63" s="175">
        <v>636005</v>
      </c>
      <c r="F63" s="176" t="s">
        <v>191</v>
      </c>
      <c r="G63" s="177">
        <v>0</v>
      </c>
      <c r="H63" s="154">
        <v>0</v>
      </c>
      <c r="I63" s="154">
        <v>0</v>
      </c>
      <c r="J63" s="178">
        <v>0</v>
      </c>
      <c r="L63" s="180"/>
    </row>
    <row r="64" spans="1:12" ht="18.75" customHeight="1">
      <c r="A64" s="116" t="s">
        <v>101</v>
      </c>
      <c r="B64" s="146"/>
      <c r="C64" s="147"/>
      <c r="D64" s="117" t="s">
        <v>192</v>
      </c>
      <c r="E64" s="148"/>
      <c r="F64" s="119" t="s">
        <v>193</v>
      </c>
      <c r="G64" s="149">
        <f>SUM(G65:G83)</f>
        <v>5710420</v>
      </c>
      <c r="H64" s="149">
        <f>SUM(H65:H83)</f>
        <v>636463</v>
      </c>
      <c r="I64" s="149">
        <f>SUM(I65:I83)</f>
        <v>4477805</v>
      </c>
      <c r="J64" s="121">
        <f aca="true" t="shared" si="2" ref="J64:J78">SUM($I64/G64)*100</f>
        <v>78.41463500057789</v>
      </c>
      <c r="L64" s="108"/>
    </row>
    <row r="65" spans="1:12" ht="18.75" customHeight="1">
      <c r="A65" s="122" t="s">
        <v>101</v>
      </c>
      <c r="B65" s="146"/>
      <c r="C65" s="147"/>
      <c r="D65" s="159"/>
      <c r="E65" s="160" t="s">
        <v>194</v>
      </c>
      <c r="F65" s="161" t="s">
        <v>195</v>
      </c>
      <c r="G65" s="154">
        <v>14207</v>
      </c>
      <c r="H65" s="154">
        <v>785</v>
      </c>
      <c r="I65" s="154">
        <v>5362</v>
      </c>
      <c r="J65" s="168">
        <f t="shared" si="2"/>
        <v>37.74195818962483</v>
      </c>
      <c r="L65" s="108"/>
    </row>
    <row r="66" spans="1:12" ht="18.75" customHeight="1">
      <c r="A66" s="122" t="s">
        <v>101</v>
      </c>
      <c r="B66" s="146"/>
      <c r="C66" s="147"/>
      <c r="D66" s="159"/>
      <c r="E66" s="160" t="s">
        <v>196</v>
      </c>
      <c r="F66" s="161" t="s">
        <v>197</v>
      </c>
      <c r="G66" s="154">
        <v>1240</v>
      </c>
      <c r="H66" s="154">
        <v>108</v>
      </c>
      <c r="I66" s="154">
        <v>377</v>
      </c>
      <c r="J66" s="168">
        <f t="shared" si="2"/>
        <v>30.403225806451612</v>
      </c>
      <c r="L66" s="108"/>
    </row>
    <row r="67" spans="1:12" ht="18.75" customHeight="1">
      <c r="A67" s="122" t="s">
        <v>101</v>
      </c>
      <c r="B67" s="146"/>
      <c r="C67" s="147"/>
      <c r="D67" s="159"/>
      <c r="E67" s="160" t="s">
        <v>198</v>
      </c>
      <c r="F67" s="161" t="s">
        <v>199</v>
      </c>
      <c r="G67" s="154">
        <v>703191</v>
      </c>
      <c r="H67" s="154">
        <f>156587+13186</f>
        <v>169773</v>
      </c>
      <c r="I67" s="154">
        <f>691066+13186</f>
        <v>704252</v>
      </c>
      <c r="J67" s="168">
        <f t="shared" si="2"/>
        <v>100.15088361483579</v>
      </c>
      <c r="L67" s="108"/>
    </row>
    <row r="68" spans="1:12" ht="18.75" customHeight="1">
      <c r="A68" s="122" t="s">
        <v>101</v>
      </c>
      <c r="B68" s="146"/>
      <c r="C68" s="147"/>
      <c r="D68" s="159"/>
      <c r="E68" s="160" t="s">
        <v>200</v>
      </c>
      <c r="F68" s="161" t="s">
        <v>201</v>
      </c>
      <c r="G68" s="154">
        <v>1085155</v>
      </c>
      <c r="H68" s="154">
        <v>150396</v>
      </c>
      <c r="I68" s="154">
        <v>1027498</v>
      </c>
      <c r="J68" s="168">
        <f t="shared" si="2"/>
        <v>94.68674981915026</v>
      </c>
      <c r="L68" s="108"/>
    </row>
    <row r="69" spans="1:12" ht="18.75" customHeight="1">
      <c r="A69" s="122" t="s">
        <v>101</v>
      </c>
      <c r="B69" s="146"/>
      <c r="C69" s="147"/>
      <c r="D69" s="159"/>
      <c r="E69" s="160" t="s">
        <v>202</v>
      </c>
      <c r="F69" s="161" t="s">
        <v>147</v>
      </c>
      <c r="G69" s="154">
        <v>374</v>
      </c>
      <c r="H69" s="154">
        <v>77</v>
      </c>
      <c r="I69" s="154">
        <v>274</v>
      </c>
      <c r="J69" s="168">
        <f t="shared" si="2"/>
        <v>73.2620320855615</v>
      </c>
      <c r="L69" s="108"/>
    </row>
    <row r="70" spans="1:12" s="186" customFormat="1" ht="18" customHeight="1">
      <c r="A70" s="181" t="s">
        <v>101</v>
      </c>
      <c r="B70" s="182"/>
      <c r="C70" s="147"/>
      <c r="D70" s="183"/>
      <c r="E70" s="184" t="s">
        <v>203</v>
      </c>
      <c r="F70" s="185" t="s">
        <v>204</v>
      </c>
      <c r="G70" s="154">
        <v>81882</v>
      </c>
      <c r="H70" s="154">
        <v>0</v>
      </c>
      <c r="I70" s="154">
        <v>11147</v>
      </c>
      <c r="J70" s="168">
        <f t="shared" si="2"/>
        <v>13.613492586893333</v>
      </c>
      <c r="L70" s="187"/>
    </row>
    <row r="71" spans="1:12" ht="18.75" customHeight="1">
      <c r="A71" s="122" t="s">
        <v>101</v>
      </c>
      <c r="B71" s="146"/>
      <c r="C71" s="147"/>
      <c r="D71" s="159"/>
      <c r="E71" s="160" t="s">
        <v>205</v>
      </c>
      <c r="F71" s="161" t="s">
        <v>206</v>
      </c>
      <c r="G71" s="154">
        <v>9228</v>
      </c>
      <c r="H71" s="154">
        <v>3310</v>
      </c>
      <c r="I71" s="154">
        <v>20592</v>
      </c>
      <c r="J71" s="168">
        <f t="shared" si="2"/>
        <v>223.14694408322495</v>
      </c>
      <c r="L71" s="108"/>
    </row>
    <row r="72" spans="1:12" ht="18.75" customHeight="1">
      <c r="A72" s="122" t="s">
        <v>101</v>
      </c>
      <c r="B72" s="146"/>
      <c r="C72" s="147"/>
      <c r="D72" s="159"/>
      <c r="E72" s="160" t="s">
        <v>207</v>
      </c>
      <c r="F72" s="161" t="s">
        <v>208</v>
      </c>
      <c r="G72" s="154">
        <v>253699</v>
      </c>
      <c r="H72" s="154">
        <f>14869+500</f>
        <v>15369</v>
      </c>
      <c r="I72" s="154">
        <f>179254+500</f>
        <v>179754</v>
      </c>
      <c r="J72" s="168">
        <f t="shared" si="2"/>
        <v>70.85325523553503</v>
      </c>
      <c r="L72" s="108"/>
    </row>
    <row r="73" spans="1:12" ht="18.75" customHeight="1">
      <c r="A73" s="122" t="s">
        <v>101</v>
      </c>
      <c r="B73" s="146"/>
      <c r="C73" s="147"/>
      <c r="D73" s="159"/>
      <c r="E73" s="160" t="s">
        <v>209</v>
      </c>
      <c r="F73" s="161" t="s">
        <v>210</v>
      </c>
      <c r="G73" s="154">
        <v>1331553</v>
      </c>
      <c r="H73" s="154">
        <f>93055+109085</f>
        <v>202140</v>
      </c>
      <c r="I73" s="154">
        <f>1317745+109085</f>
        <v>1426830</v>
      </c>
      <c r="J73" s="168">
        <f t="shared" si="2"/>
        <v>107.15532915325187</v>
      </c>
      <c r="L73" s="108"/>
    </row>
    <row r="74" spans="1:12" ht="18.75" customHeight="1">
      <c r="A74" s="122" t="s">
        <v>101</v>
      </c>
      <c r="B74" s="146"/>
      <c r="C74" s="147"/>
      <c r="D74" s="159"/>
      <c r="E74" s="160" t="s">
        <v>211</v>
      </c>
      <c r="F74" s="161" t="s">
        <v>212</v>
      </c>
      <c r="G74" s="154">
        <v>89046</v>
      </c>
      <c r="H74" s="154">
        <v>-6</v>
      </c>
      <c r="I74" s="154">
        <v>48547</v>
      </c>
      <c r="J74" s="168">
        <f t="shared" si="2"/>
        <v>54.5190126451497</v>
      </c>
      <c r="L74" s="108"/>
    </row>
    <row r="75" spans="1:12" ht="18.75" customHeight="1">
      <c r="A75" s="122" t="s">
        <v>101</v>
      </c>
      <c r="B75" s="146"/>
      <c r="C75" s="147"/>
      <c r="D75" s="159"/>
      <c r="E75" s="160" t="s">
        <v>213</v>
      </c>
      <c r="F75" s="161" t="s">
        <v>214</v>
      </c>
      <c r="G75" s="154">
        <v>436000</v>
      </c>
      <c r="H75" s="188">
        <v>85239</v>
      </c>
      <c r="I75" s="188">
        <v>456439</v>
      </c>
      <c r="J75" s="168">
        <f t="shared" si="2"/>
        <v>104.68784403669724</v>
      </c>
      <c r="L75" s="108"/>
    </row>
    <row r="76" spans="1:12" s="179" customFormat="1" ht="18.75" customHeight="1" hidden="1">
      <c r="A76" s="171" t="s">
        <v>101</v>
      </c>
      <c r="B76" s="172"/>
      <c r="C76" s="173"/>
      <c r="D76" s="189"/>
      <c r="E76" s="190" t="s">
        <v>215</v>
      </c>
      <c r="F76" s="191" t="s">
        <v>216</v>
      </c>
      <c r="G76" s="177">
        <v>0</v>
      </c>
      <c r="H76" s="177"/>
      <c r="I76" s="177"/>
      <c r="J76" s="168" t="e">
        <f t="shared" si="2"/>
        <v>#DIV/0!</v>
      </c>
      <c r="L76" s="180"/>
    </row>
    <row r="77" spans="1:12" ht="18.75" customHeight="1">
      <c r="A77" s="122" t="s">
        <v>101</v>
      </c>
      <c r="B77" s="146"/>
      <c r="C77" s="147"/>
      <c r="D77" s="159"/>
      <c r="E77" s="160" t="s">
        <v>217</v>
      </c>
      <c r="F77" s="161" t="s">
        <v>218</v>
      </c>
      <c r="G77" s="154">
        <v>0</v>
      </c>
      <c r="H77" s="154">
        <v>10</v>
      </c>
      <c r="I77" s="154">
        <v>40</v>
      </c>
      <c r="J77" s="168">
        <v>0</v>
      </c>
      <c r="L77" s="108"/>
    </row>
    <row r="78" spans="1:12" ht="18.75" customHeight="1">
      <c r="A78" s="122" t="s">
        <v>101</v>
      </c>
      <c r="B78" s="146"/>
      <c r="C78" s="147"/>
      <c r="D78" s="159"/>
      <c r="E78" s="160" t="s">
        <v>219</v>
      </c>
      <c r="F78" s="161" t="s">
        <v>220</v>
      </c>
      <c r="G78" s="154">
        <v>90000</v>
      </c>
      <c r="H78" s="154">
        <v>8870</v>
      </c>
      <c r="I78" s="154">
        <v>69069</v>
      </c>
      <c r="J78" s="168">
        <f t="shared" si="2"/>
        <v>76.74333333333333</v>
      </c>
      <c r="L78" s="108"/>
    </row>
    <row r="79" spans="1:12" ht="18.75" customHeight="1">
      <c r="A79" s="122" t="s">
        <v>221</v>
      </c>
      <c r="B79" s="146"/>
      <c r="C79" s="147"/>
      <c r="D79" s="159"/>
      <c r="E79" s="160" t="s">
        <v>222</v>
      </c>
      <c r="F79" s="161" t="s">
        <v>223</v>
      </c>
      <c r="G79" s="154">
        <v>0</v>
      </c>
      <c r="H79" s="154">
        <v>0</v>
      </c>
      <c r="I79" s="154">
        <v>301</v>
      </c>
      <c r="J79" s="168">
        <v>0</v>
      </c>
      <c r="L79" s="108"/>
    </row>
    <row r="80" spans="1:12" ht="18.75" customHeight="1">
      <c r="A80" s="122" t="s">
        <v>101</v>
      </c>
      <c r="B80" s="146"/>
      <c r="C80" s="147"/>
      <c r="D80" s="159"/>
      <c r="E80" s="160" t="s">
        <v>224</v>
      </c>
      <c r="F80" s="161" t="s">
        <v>225</v>
      </c>
      <c r="G80" s="154">
        <v>0</v>
      </c>
      <c r="H80" s="154">
        <v>0</v>
      </c>
      <c r="I80" s="154">
        <v>33505</v>
      </c>
      <c r="J80" s="168">
        <v>0</v>
      </c>
      <c r="L80" s="108"/>
    </row>
    <row r="81" spans="1:12" s="179" customFormat="1" ht="18.75" customHeight="1" hidden="1">
      <c r="A81" s="171" t="s">
        <v>101</v>
      </c>
      <c r="B81" s="172"/>
      <c r="C81" s="173"/>
      <c r="D81" s="189"/>
      <c r="E81" s="190" t="s">
        <v>226</v>
      </c>
      <c r="F81" s="191" t="s">
        <v>227</v>
      </c>
      <c r="G81" s="177">
        <v>0</v>
      </c>
      <c r="H81" s="177"/>
      <c r="I81" s="177"/>
      <c r="J81" s="168" t="e">
        <f aca="true" t="shared" si="3" ref="J81:J92">SUM($I81/G81)*100</f>
        <v>#DIV/0!</v>
      </c>
      <c r="L81" s="180"/>
    </row>
    <row r="82" spans="1:12" ht="18.75" customHeight="1">
      <c r="A82" s="122" t="s">
        <v>101</v>
      </c>
      <c r="B82" s="146"/>
      <c r="C82" s="147"/>
      <c r="D82" s="159"/>
      <c r="E82" s="160" t="s">
        <v>228</v>
      </c>
      <c r="F82" s="161" t="s">
        <v>229</v>
      </c>
      <c r="G82" s="154">
        <v>1560513</v>
      </c>
      <c r="H82" s="154">
        <v>437</v>
      </c>
      <c r="I82" s="154">
        <v>429304</v>
      </c>
      <c r="J82" s="168">
        <f t="shared" si="3"/>
        <v>27.510440476945725</v>
      </c>
      <c r="L82" s="108"/>
    </row>
    <row r="83" spans="1:12" ht="18.75" customHeight="1">
      <c r="A83" s="122" t="s">
        <v>101</v>
      </c>
      <c r="B83" s="146"/>
      <c r="C83" s="147"/>
      <c r="D83" s="159"/>
      <c r="E83" s="160" t="s">
        <v>230</v>
      </c>
      <c r="F83" s="161" t="s">
        <v>231</v>
      </c>
      <c r="G83" s="154">
        <v>54332</v>
      </c>
      <c r="H83" s="154">
        <v>-45</v>
      </c>
      <c r="I83" s="154">
        <v>64514</v>
      </c>
      <c r="J83" s="168">
        <f t="shared" si="3"/>
        <v>118.74033718618861</v>
      </c>
      <c r="L83" s="108"/>
    </row>
    <row r="84" spans="1:12" ht="18.75" customHeight="1">
      <c r="A84" s="109" t="s">
        <v>101</v>
      </c>
      <c r="B84" s="130"/>
      <c r="C84" s="143" t="s">
        <v>232</v>
      </c>
      <c r="D84" s="131"/>
      <c r="E84" s="144"/>
      <c r="F84" s="133" t="s">
        <v>233</v>
      </c>
      <c r="G84" s="192">
        <f>SUM(G85+G91)</f>
        <v>981518</v>
      </c>
      <c r="H84" s="192">
        <f>SUM(H85+H91)</f>
        <v>23728</v>
      </c>
      <c r="I84" s="192">
        <f>SUM(I85+I91)</f>
        <v>792263</v>
      </c>
      <c r="J84" s="115">
        <f t="shared" si="3"/>
        <v>80.7181325253332</v>
      </c>
      <c r="L84" s="108"/>
    </row>
    <row r="85" spans="1:12" ht="18.75" customHeight="1">
      <c r="A85" s="116" t="s">
        <v>101</v>
      </c>
      <c r="B85" s="146"/>
      <c r="C85" s="147"/>
      <c r="D85" s="117" t="s">
        <v>234</v>
      </c>
      <c r="E85" s="148"/>
      <c r="F85" s="119" t="s">
        <v>235</v>
      </c>
      <c r="G85" s="149">
        <f>SUM(G86:G90)</f>
        <v>981518</v>
      </c>
      <c r="H85" s="149">
        <f>SUM(H86:H90)</f>
        <v>23728</v>
      </c>
      <c r="I85" s="149">
        <f>SUM(I86:I90)</f>
        <v>792263</v>
      </c>
      <c r="J85" s="121">
        <f t="shared" si="3"/>
        <v>80.7181325253332</v>
      </c>
      <c r="L85" s="108"/>
    </row>
    <row r="86" spans="1:12" ht="18.75" customHeight="1">
      <c r="A86" s="122" t="s">
        <v>101</v>
      </c>
      <c r="B86" s="146"/>
      <c r="C86" s="147"/>
      <c r="D86" s="159"/>
      <c r="E86" s="160" t="s">
        <v>236</v>
      </c>
      <c r="F86" s="161" t="s">
        <v>237</v>
      </c>
      <c r="G86" s="154">
        <v>613757</v>
      </c>
      <c r="H86" s="188">
        <v>11680</v>
      </c>
      <c r="I86" s="188">
        <v>473465</v>
      </c>
      <c r="J86" s="129">
        <f t="shared" si="3"/>
        <v>77.14209369506173</v>
      </c>
      <c r="L86" s="108"/>
    </row>
    <row r="87" spans="1:12" ht="18.75" customHeight="1">
      <c r="A87" s="122" t="s">
        <v>101</v>
      </c>
      <c r="B87" s="146"/>
      <c r="C87" s="147"/>
      <c r="D87" s="159"/>
      <c r="E87" s="160" t="s">
        <v>238</v>
      </c>
      <c r="F87" s="161" t="s">
        <v>239</v>
      </c>
      <c r="G87" s="154">
        <v>137270</v>
      </c>
      <c r="H87" s="188">
        <v>1775</v>
      </c>
      <c r="I87" s="188">
        <v>110964</v>
      </c>
      <c r="J87" s="129">
        <f t="shared" si="3"/>
        <v>80.83630800611932</v>
      </c>
      <c r="L87" s="108"/>
    </row>
    <row r="88" spans="1:10" ht="18.75" customHeight="1">
      <c r="A88" s="122" t="s">
        <v>101</v>
      </c>
      <c r="B88" s="146"/>
      <c r="C88" s="147"/>
      <c r="D88" s="159"/>
      <c r="E88" s="160" t="s">
        <v>240</v>
      </c>
      <c r="F88" s="161" t="s">
        <v>241</v>
      </c>
      <c r="G88" s="154">
        <v>11000</v>
      </c>
      <c r="H88" s="188">
        <v>686</v>
      </c>
      <c r="I88" s="188">
        <v>8546</v>
      </c>
      <c r="J88" s="129">
        <f t="shared" si="3"/>
        <v>77.69090909090909</v>
      </c>
    </row>
    <row r="89" spans="1:10" ht="18.75" customHeight="1">
      <c r="A89" s="122" t="s">
        <v>101</v>
      </c>
      <c r="B89" s="146"/>
      <c r="C89" s="147"/>
      <c r="D89" s="159"/>
      <c r="E89" s="160" t="s">
        <v>242</v>
      </c>
      <c r="F89" s="161" t="s">
        <v>243</v>
      </c>
      <c r="G89" s="154">
        <v>219491</v>
      </c>
      <c r="H89" s="188">
        <v>9587</v>
      </c>
      <c r="I89" s="188">
        <v>199288</v>
      </c>
      <c r="J89" s="129">
        <f t="shared" si="3"/>
        <v>90.79552236765971</v>
      </c>
    </row>
    <row r="90" spans="1:10" ht="18.75" customHeight="1" hidden="1">
      <c r="A90" s="122" t="s">
        <v>101</v>
      </c>
      <c r="B90" s="146"/>
      <c r="C90" s="147"/>
      <c r="D90" s="159"/>
      <c r="E90" s="160" t="s">
        <v>244</v>
      </c>
      <c r="F90" s="161" t="s">
        <v>245</v>
      </c>
      <c r="G90" s="154">
        <v>0</v>
      </c>
      <c r="H90" s="154">
        <v>0</v>
      </c>
      <c r="I90" s="154">
        <v>0</v>
      </c>
      <c r="J90" s="129" t="e">
        <f t="shared" si="3"/>
        <v>#DIV/0!</v>
      </c>
    </row>
    <row r="91" spans="1:10" ht="18.75" customHeight="1" hidden="1">
      <c r="A91" s="116" t="s">
        <v>101</v>
      </c>
      <c r="B91" s="146"/>
      <c r="C91" s="147"/>
      <c r="D91" s="117" t="s">
        <v>246</v>
      </c>
      <c r="E91" s="160"/>
      <c r="F91" s="119" t="s">
        <v>247</v>
      </c>
      <c r="G91" s="149">
        <f>SUM(G92)</f>
        <v>0</v>
      </c>
      <c r="H91" s="149">
        <f>SUM(H92)</f>
        <v>0</v>
      </c>
      <c r="I91" s="149">
        <f>SUM(I92)</f>
        <v>0</v>
      </c>
      <c r="J91" s="121" t="e">
        <f t="shared" si="3"/>
        <v>#DIV/0!</v>
      </c>
    </row>
    <row r="92" spans="1:10" ht="18.75" customHeight="1" hidden="1">
      <c r="A92" s="122" t="s">
        <v>101</v>
      </c>
      <c r="B92" s="146"/>
      <c r="C92" s="147"/>
      <c r="D92" s="159"/>
      <c r="E92" s="160" t="s">
        <v>248</v>
      </c>
      <c r="F92" s="161" t="s">
        <v>249</v>
      </c>
      <c r="G92" s="154">
        <v>0</v>
      </c>
      <c r="H92" s="154">
        <v>0</v>
      </c>
      <c r="I92" s="154">
        <v>0</v>
      </c>
      <c r="J92" s="129" t="e">
        <f t="shared" si="3"/>
        <v>#DIV/0!</v>
      </c>
    </row>
    <row r="93" spans="1:10" ht="14.25" thickBot="1">
      <c r="A93" s="193"/>
      <c r="B93" s="194"/>
      <c r="C93" s="195"/>
      <c r="D93" s="195"/>
      <c r="E93" s="196"/>
      <c r="F93" s="197"/>
      <c r="G93" s="198"/>
      <c r="H93" s="198"/>
      <c r="I93" s="198"/>
      <c r="J93" s="199"/>
    </row>
    <row r="94" spans="2:6" ht="12.75">
      <c r="B94" s="200"/>
      <c r="C94" s="200"/>
      <c r="D94" s="200"/>
      <c r="E94" s="200"/>
      <c r="F94" s="200"/>
    </row>
    <row r="95" spans="2:6" ht="12.75">
      <c r="B95" s="200"/>
      <c r="C95" s="200"/>
      <c r="D95" s="200"/>
      <c r="E95" s="200"/>
      <c r="F95" s="200"/>
    </row>
    <row r="96" spans="2:6" ht="12.75">
      <c r="B96" s="200"/>
      <c r="C96" s="200"/>
      <c r="D96" s="200"/>
      <c r="E96" s="200"/>
      <c r="F96" s="200"/>
    </row>
    <row r="97" spans="2:6" ht="12.75">
      <c r="B97" s="200"/>
      <c r="C97" s="200"/>
      <c r="D97" s="200"/>
      <c r="E97" s="200"/>
      <c r="F97" s="200"/>
    </row>
    <row r="98" spans="2:6" ht="12.75">
      <c r="B98" s="200"/>
      <c r="C98" s="200"/>
      <c r="D98" s="200"/>
      <c r="E98" s="200"/>
      <c r="F98" s="200"/>
    </row>
    <row r="99" spans="2:6" ht="12.75">
      <c r="B99" s="200"/>
      <c r="C99" s="200"/>
      <c r="D99" s="200"/>
      <c r="E99" s="200"/>
      <c r="F99" s="200"/>
    </row>
    <row r="100" spans="2:6" ht="12.75">
      <c r="B100" s="200"/>
      <c r="C100" s="200"/>
      <c r="D100" s="200"/>
      <c r="E100" s="200"/>
      <c r="F100" s="200"/>
    </row>
    <row r="101" spans="2:6" ht="12.75">
      <c r="B101" s="200"/>
      <c r="C101" s="200"/>
      <c r="D101" s="200"/>
      <c r="E101" s="200"/>
      <c r="F101" s="200"/>
    </row>
    <row r="102" spans="2:6" ht="12.75">
      <c r="B102" s="200"/>
      <c r="C102" s="200"/>
      <c r="D102" s="200"/>
      <c r="E102" s="200"/>
      <c r="F102" s="200"/>
    </row>
    <row r="103" spans="2:6" ht="12.75">
      <c r="B103" s="200"/>
      <c r="C103" s="200"/>
      <c r="D103" s="200"/>
      <c r="E103" s="200"/>
      <c r="F103" s="200"/>
    </row>
    <row r="104" spans="2:6" ht="12.75">
      <c r="B104" s="200"/>
      <c r="C104" s="200"/>
      <c r="D104" s="200"/>
      <c r="E104" s="200"/>
      <c r="F104" s="200"/>
    </row>
    <row r="105" spans="2:6" ht="12.75">
      <c r="B105" s="200"/>
      <c r="C105" s="200"/>
      <c r="D105" s="200"/>
      <c r="E105" s="200"/>
      <c r="F105" s="200"/>
    </row>
    <row r="106" spans="2:6" ht="12.75">
      <c r="B106" s="200"/>
      <c r="C106" s="200"/>
      <c r="D106" s="200"/>
      <c r="E106" s="200"/>
      <c r="F106" s="200"/>
    </row>
    <row r="107" spans="2:6" ht="12.75">
      <c r="B107" s="200"/>
      <c r="C107" s="200"/>
      <c r="D107" s="200"/>
      <c r="E107" s="200"/>
      <c r="F107" s="200"/>
    </row>
    <row r="108" spans="2:6" ht="12.75">
      <c r="B108" s="200"/>
      <c r="C108" s="200"/>
      <c r="D108" s="200"/>
      <c r="E108" s="200"/>
      <c r="F108" s="200"/>
    </row>
    <row r="109" spans="2:6" ht="12.75">
      <c r="B109" s="200"/>
      <c r="C109" s="200"/>
      <c r="D109" s="200"/>
      <c r="E109" s="200"/>
      <c r="F109" s="200"/>
    </row>
    <row r="110" spans="2:6" ht="12.75">
      <c r="B110" s="200"/>
      <c r="C110" s="200"/>
      <c r="D110" s="200"/>
      <c r="E110" s="200"/>
      <c r="F110" s="200"/>
    </row>
    <row r="111" spans="2:6" ht="12.75">
      <c r="B111" s="200"/>
      <c r="C111" s="200"/>
      <c r="D111" s="200"/>
      <c r="E111" s="200"/>
      <c r="F111" s="200"/>
    </row>
    <row r="112" spans="2:6" ht="12.75">
      <c r="B112" s="200"/>
      <c r="C112" s="200"/>
      <c r="D112" s="200"/>
      <c r="E112" s="200"/>
      <c r="F112" s="200"/>
    </row>
    <row r="113" spans="2:6" ht="12.75">
      <c r="B113" s="200"/>
      <c r="C113" s="200"/>
      <c r="D113" s="200"/>
      <c r="E113" s="200"/>
      <c r="F113" s="200"/>
    </row>
    <row r="114" spans="2:6" ht="12.75">
      <c r="B114" s="200"/>
      <c r="C114" s="200"/>
      <c r="D114" s="200"/>
      <c r="E114" s="200"/>
      <c r="F114" s="200"/>
    </row>
    <row r="115" spans="2:6" ht="12.75">
      <c r="B115" s="200"/>
      <c r="C115" s="200"/>
      <c r="D115" s="200"/>
      <c r="E115" s="200"/>
      <c r="F115" s="200"/>
    </row>
    <row r="116" spans="2:6" ht="12.75">
      <c r="B116" s="200"/>
      <c r="C116" s="200"/>
      <c r="D116" s="200"/>
      <c r="E116" s="200"/>
      <c r="F116" s="200"/>
    </row>
    <row r="117" spans="2:6" ht="12.75">
      <c r="B117" s="200"/>
      <c r="C117" s="200"/>
      <c r="D117" s="200"/>
      <c r="E117" s="200"/>
      <c r="F117" s="200"/>
    </row>
    <row r="118" spans="2:6" ht="12.75">
      <c r="B118" s="200"/>
      <c r="C118" s="200"/>
      <c r="D118" s="200"/>
      <c r="E118" s="200"/>
      <c r="F118" s="200"/>
    </row>
    <row r="119" spans="2:6" ht="12.75">
      <c r="B119" s="200"/>
      <c r="C119" s="200"/>
      <c r="D119" s="200"/>
      <c r="E119" s="200"/>
      <c r="F119" s="200"/>
    </row>
    <row r="120" spans="2:6" ht="12.75">
      <c r="B120" s="200"/>
      <c r="C120" s="200"/>
      <c r="D120" s="200"/>
      <c r="E120" s="200"/>
      <c r="F120" s="200"/>
    </row>
    <row r="121" spans="2:6" ht="12.75">
      <c r="B121" s="200"/>
      <c r="C121" s="200"/>
      <c r="D121" s="200"/>
      <c r="E121" s="200"/>
      <c r="F121" s="200"/>
    </row>
    <row r="122" spans="2:6" ht="12.75">
      <c r="B122" s="200"/>
      <c r="C122" s="200"/>
      <c r="D122" s="200"/>
      <c r="E122" s="200"/>
      <c r="F122" s="200"/>
    </row>
    <row r="123" spans="2:6" ht="12.75">
      <c r="B123" s="200"/>
      <c r="C123" s="200"/>
      <c r="D123" s="200"/>
      <c r="E123" s="200"/>
      <c r="F123" s="200"/>
    </row>
    <row r="124" spans="2:6" ht="12.75">
      <c r="B124" s="200"/>
      <c r="C124" s="200"/>
      <c r="D124" s="200"/>
      <c r="E124" s="200"/>
      <c r="F124" s="200"/>
    </row>
    <row r="125" spans="2:6" ht="12.75">
      <c r="B125" s="200"/>
      <c r="C125" s="200"/>
      <c r="D125" s="200"/>
      <c r="E125" s="200"/>
      <c r="F125" s="200"/>
    </row>
    <row r="126" spans="2:6" ht="12.75">
      <c r="B126" s="200"/>
      <c r="C126" s="200"/>
      <c r="D126" s="200"/>
      <c r="E126" s="200"/>
      <c r="F126" s="200"/>
    </row>
    <row r="127" spans="2:6" ht="12.75">
      <c r="B127" s="200"/>
      <c r="C127" s="200"/>
      <c r="D127" s="200"/>
      <c r="E127" s="200"/>
      <c r="F127" s="200"/>
    </row>
    <row r="128" spans="2:6" ht="12.75">
      <c r="B128" s="200"/>
      <c r="C128" s="200"/>
      <c r="D128" s="200"/>
      <c r="E128" s="200"/>
      <c r="F128" s="200"/>
    </row>
    <row r="129" spans="2:6" ht="12.75">
      <c r="B129" s="200"/>
      <c r="C129" s="200"/>
      <c r="D129" s="200"/>
      <c r="E129" s="200"/>
      <c r="F129" s="200"/>
    </row>
    <row r="130" spans="2:6" ht="12.75">
      <c r="B130" s="200"/>
      <c r="C130" s="200"/>
      <c r="D130" s="200"/>
      <c r="E130" s="200"/>
      <c r="F130" s="200"/>
    </row>
    <row r="131" spans="2:6" ht="12.75">
      <c r="B131" s="200"/>
      <c r="C131" s="200"/>
      <c r="D131" s="200"/>
      <c r="E131" s="200"/>
      <c r="F131" s="200"/>
    </row>
    <row r="132" spans="2:6" ht="12.75">
      <c r="B132" s="200"/>
      <c r="C132" s="200"/>
      <c r="D132" s="200"/>
      <c r="E132" s="200"/>
      <c r="F132" s="200"/>
    </row>
    <row r="133" spans="2:6" ht="12.75">
      <c r="B133" s="200"/>
      <c r="C133" s="200"/>
      <c r="D133" s="200"/>
      <c r="E133" s="200"/>
      <c r="F133" s="200"/>
    </row>
    <row r="134" spans="2:6" ht="12.75">
      <c r="B134" s="200"/>
      <c r="C134" s="200"/>
      <c r="D134" s="200"/>
      <c r="E134" s="200"/>
      <c r="F134" s="200"/>
    </row>
    <row r="135" spans="2:6" ht="12.75">
      <c r="B135" s="200"/>
      <c r="C135" s="200"/>
      <c r="D135" s="200"/>
      <c r="E135" s="200"/>
      <c r="F135" s="200"/>
    </row>
    <row r="136" spans="2:6" ht="12.75">
      <c r="B136" s="200"/>
      <c r="C136" s="200"/>
      <c r="D136" s="200"/>
      <c r="E136" s="200"/>
      <c r="F136" s="200"/>
    </row>
    <row r="137" spans="2:6" ht="12.75">
      <c r="B137" s="200"/>
      <c r="C137" s="200"/>
      <c r="D137" s="200"/>
      <c r="E137" s="200"/>
      <c r="F137" s="200"/>
    </row>
    <row r="138" spans="2:6" ht="12.75">
      <c r="B138" s="200"/>
      <c r="C138" s="200"/>
      <c r="D138" s="200"/>
      <c r="E138" s="200"/>
      <c r="F138" s="200"/>
    </row>
    <row r="139" spans="2:6" ht="12.75">
      <c r="B139" s="200"/>
      <c r="C139" s="200"/>
      <c r="D139" s="200"/>
      <c r="E139" s="200"/>
      <c r="F139" s="200"/>
    </row>
    <row r="140" spans="2:6" ht="12.75">
      <c r="B140" s="200"/>
      <c r="C140" s="200"/>
      <c r="D140" s="200"/>
      <c r="E140" s="200"/>
      <c r="F140" s="200"/>
    </row>
    <row r="141" spans="2:6" ht="12.75">
      <c r="B141" s="200"/>
      <c r="C141" s="200"/>
      <c r="D141" s="200"/>
      <c r="E141" s="200"/>
      <c r="F141" s="200"/>
    </row>
    <row r="142" spans="2:6" ht="12.75">
      <c r="B142" s="200"/>
      <c r="C142" s="200"/>
      <c r="D142" s="200"/>
      <c r="E142" s="200"/>
      <c r="F142" s="200"/>
    </row>
    <row r="143" spans="2:6" ht="12.75">
      <c r="B143" s="200"/>
      <c r="C143" s="200"/>
      <c r="D143" s="200"/>
      <c r="E143" s="200"/>
      <c r="F143" s="200"/>
    </row>
    <row r="144" spans="2:6" ht="12.75">
      <c r="B144" s="200"/>
      <c r="C144" s="200"/>
      <c r="D144" s="200"/>
      <c r="E144" s="200"/>
      <c r="F144" s="200"/>
    </row>
    <row r="145" spans="2:6" ht="12.75">
      <c r="B145" s="200"/>
      <c r="C145" s="200"/>
      <c r="D145" s="200"/>
      <c r="E145" s="200"/>
      <c r="F145" s="200"/>
    </row>
    <row r="146" spans="2:6" ht="12.75">
      <c r="B146" s="200"/>
      <c r="C146" s="200"/>
      <c r="D146" s="200"/>
      <c r="E146" s="200"/>
      <c r="F146" s="200"/>
    </row>
    <row r="147" spans="2:6" ht="12.75">
      <c r="B147" s="200"/>
      <c r="C147" s="200"/>
      <c r="D147" s="200"/>
      <c r="E147" s="200"/>
      <c r="F147" s="200"/>
    </row>
    <row r="148" spans="2:6" ht="12.75">
      <c r="B148" s="200"/>
      <c r="C148" s="200"/>
      <c r="D148" s="200"/>
      <c r="E148" s="200"/>
      <c r="F148" s="200"/>
    </row>
    <row r="149" spans="2:6" ht="12.75">
      <c r="B149" s="200"/>
      <c r="C149" s="200"/>
      <c r="D149" s="200"/>
      <c r="E149" s="200"/>
      <c r="F149" s="200"/>
    </row>
    <row r="150" spans="2:6" ht="12.75">
      <c r="B150" s="200"/>
      <c r="C150" s="200"/>
      <c r="D150" s="200"/>
      <c r="E150" s="200"/>
      <c r="F150" s="200"/>
    </row>
    <row r="151" spans="2:6" ht="12.75">
      <c r="B151" s="200"/>
      <c r="C151" s="200"/>
      <c r="D151" s="200"/>
      <c r="E151" s="200"/>
      <c r="F151" s="200"/>
    </row>
    <row r="152" spans="2:6" ht="12.75">
      <c r="B152" s="200"/>
      <c r="C152" s="200"/>
      <c r="D152" s="200"/>
      <c r="E152" s="200"/>
      <c r="F152" s="200"/>
    </row>
    <row r="153" spans="2:6" ht="12.75">
      <c r="B153" s="200"/>
      <c r="C153" s="200"/>
      <c r="D153" s="200"/>
      <c r="E153" s="200"/>
      <c r="F153" s="200"/>
    </row>
    <row r="154" spans="2:6" ht="12.75">
      <c r="B154" s="200"/>
      <c r="C154" s="200"/>
      <c r="D154" s="200"/>
      <c r="E154" s="200"/>
      <c r="F154" s="200"/>
    </row>
    <row r="155" spans="2:6" ht="12.75">
      <c r="B155" s="200"/>
      <c r="C155" s="200"/>
      <c r="D155" s="200"/>
      <c r="E155" s="200"/>
      <c r="F155" s="200"/>
    </row>
    <row r="156" spans="2:6" ht="12.75">
      <c r="B156" s="200"/>
      <c r="C156" s="200"/>
      <c r="D156" s="200"/>
      <c r="E156" s="200"/>
      <c r="F156" s="200"/>
    </row>
    <row r="157" spans="2:6" ht="12.75">
      <c r="B157" s="200"/>
      <c r="C157" s="200"/>
      <c r="D157" s="200"/>
      <c r="E157" s="200"/>
      <c r="F157" s="200"/>
    </row>
    <row r="158" spans="2:6" ht="12.75">
      <c r="B158" s="200"/>
      <c r="C158" s="200"/>
      <c r="D158" s="200"/>
      <c r="E158" s="200"/>
      <c r="F158" s="200"/>
    </row>
    <row r="159" spans="2:6" ht="12.75">
      <c r="B159" s="200"/>
      <c r="C159" s="200"/>
      <c r="D159" s="200"/>
      <c r="E159" s="200"/>
      <c r="F159" s="200"/>
    </row>
    <row r="160" spans="2:6" ht="12.75">
      <c r="B160" s="200"/>
      <c r="C160" s="200"/>
      <c r="D160" s="200"/>
      <c r="E160" s="200"/>
      <c r="F160" s="200"/>
    </row>
    <row r="161" spans="2:6" ht="12.75">
      <c r="B161" s="200"/>
      <c r="C161" s="200"/>
      <c r="D161" s="200"/>
      <c r="E161" s="200"/>
      <c r="F161" s="200"/>
    </row>
    <row r="162" spans="2:6" ht="12.75">
      <c r="B162" s="200"/>
      <c r="C162" s="200"/>
      <c r="D162" s="200"/>
      <c r="E162" s="200"/>
      <c r="F162" s="200"/>
    </row>
    <row r="163" spans="2:6" ht="12.75">
      <c r="B163" s="200"/>
      <c r="C163" s="200"/>
      <c r="D163" s="200"/>
      <c r="E163" s="200"/>
      <c r="F163" s="200"/>
    </row>
    <row r="164" spans="2:6" ht="12.75">
      <c r="B164" s="200"/>
      <c r="C164" s="200"/>
      <c r="D164" s="200"/>
      <c r="E164" s="200"/>
      <c r="F164" s="200"/>
    </row>
    <row r="165" spans="2:6" ht="12.75">
      <c r="B165" s="200"/>
      <c r="C165" s="200"/>
      <c r="D165" s="200"/>
      <c r="E165" s="200"/>
      <c r="F165" s="200"/>
    </row>
    <row r="166" spans="2:6" ht="12.75">
      <c r="B166" s="200"/>
      <c r="C166" s="200"/>
      <c r="D166" s="200"/>
      <c r="E166" s="200"/>
      <c r="F166" s="200"/>
    </row>
    <row r="167" spans="2:6" ht="12.75">
      <c r="B167" s="200"/>
      <c r="C167" s="200"/>
      <c r="D167" s="200"/>
      <c r="E167" s="200"/>
      <c r="F167" s="200"/>
    </row>
    <row r="168" spans="2:6" ht="12.75">
      <c r="B168" s="200"/>
      <c r="C168" s="200"/>
      <c r="D168" s="200"/>
      <c r="E168" s="200"/>
      <c r="F168" s="200"/>
    </row>
    <row r="169" spans="2:6" ht="12.75">
      <c r="B169" s="200"/>
      <c r="C169" s="200"/>
      <c r="D169" s="200"/>
      <c r="E169" s="200"/>
      <c r="F169" s="200"/>
    </row>
    <row r="170" spans="2:6" ht="12.75">
      <c r="B170" s="200"/>
      <c r="C170" s="200"/>
      <c r="D170" s="200"/>
      <c r="E170" s="200"/>
      <c r="F170" s="200"/>
    </row>
    <row r="171" spans="2:6" ht="12.75">
      <c r="B171" s="200"/>
      <c r="C171" s="200"/>
      <c r="D171" s="200"/>
      <c r="E171" s="200"/>
      <c r="F171" s="200"/>
    </row>
    <row r="172" spans="2:6" ht="12.75">
      <c r="B172" s="200"/>
      <c r="C172" s="200"/>
      <c r="D172" s="200"/>
      <c r="E172" s="200"/>
      <c r="F172" s="200"/>
    </row>
    <row r="173" spans="2:6" ht="12.75">
      <c r="B173" s="200"/>
      <c r="C173" s="200"/>
      <c r="D173" s="200"/>
      <c r="E173" s="200"/>
      <c r="F173" s="200"/>
    </row>
    <row r="174" spans="2:6" ht="12.75">
      <c r="B174" s="200"/>
      <c r="C174" s="200"/>
      <c r="D174" s="200"/>
      <c r="E174" s="200"/>
      <c r="F174" s="200"/>
    </row>
    <row r="175" spans="2:6" ht="12.75">
      <c r="B175" s="200"/>
      <c r="C175" s="200"/>
      <c r="D175" s="200"/>
      <c r="E175" s="200"/>
      <c r="F175" s="200"/>
    </row>
    <row r="176" spans="2:6" ht="12.75">
      <c r="B176" s="200"/>
      <c r="C176" s="200"/>
      <c r="D176" s="200"/>
      <c r="E176" s="200"/>
      <c r="F176" s="200"/>
    </row>
    <row r="177" spans="2:6" ht="12.75">
      <c r="B177" s="200"/>
      <c r="C177" s="200"/>
      <c r="D177" s="200"/>
      <c r="E177" s="200"/>
      <c r="F177" s="200"/>
    </row>
    <row r="178" spans="2:6" ht="12.75">
      <c r="B178" s="200"/>
      <c r="C178" s="200"/>
      <c r="D178" s="200"/>
      <c r="E178" s="200"/>
      <c r="F178" s="200"/>
    </row>
    <row r="179" spans="2:6" ht="12.75">
      <c r="B179" s="200"/>
      <c r="C179" s="200"/>
      <c r="D179" s="200"/>
      <c r="E179" s="200"/>
      <c r="F179" s="200"/>
    </row>
    <row r="180" spans="2:6" ht="12.75">
      <c r="B180" s="200"/>
      <c r="C180" s="200"/>
      <c r="D180" s="200"/>
      <c r="E180" s="200"/>
      <c r="F180" s="200"/>
    </row>
    <row r="181" spans="2:6" ht="12.75">
      <c r="B181" s="200"/>
      <c r="C181" s="200"/>
      <c r="D181" s="200"/>
      <c r="E181" s="200"/>
      <c r="F181" s="200"/>
    </row>
    <row r="182" spans="2:6" ht="12.75">
      <c r="B182" s="200"/>
      <c r="C182" s="200"/>
      <c r="D182" s="200"/>
      <c r="E182" s="200"/>
      <c r="F182" s="200"/>
    </row>
    <row r="183" spans="2:6" ht="12.75">
      <c r="B183" s="200"/>
      <c r="C183" s="200"/>
      <c r="D183" s="200"/>
      <c r="E183" s="200"/>
      <c r="F183" s="200"/>
    </row>
    <row r="184" spans="2:6" ht="12.75">
      <c r="B184" s="200"/>
      <c r="C184" s="200"/>
      <c r="D184" s="200"/>
      <c r="E184" s="200"/>
      <c r="F184" s="200"/>
    </row>
    <row r="185" spans="2:6" ht="12.75">
      <c r="B185" s="200"/>
      <c r="C185" s="200"/>
      <c r="D185" s="200"/>
      <c r="E185" s="200"/>
      <c r="F185" s="200"/>
    </row>
    <row r="186" spans="2:6" ht="12.75">
      <c r="B186" s="200"/>
      <c r="C186" s="200"/>
      <c r="D186" s="200"/>
      <c r="E186" s="200"/>
      <c r="F186" s="200"/>
    </row>
    <row r="187" spans="2:6" ht="12.75">
      <c r="B187" s="200"/>
      <c r="C187" s="200"/>
      <c r="D187" s="200"/>
      <c r="E187" s="200"/>
      <c r="F187" s="200"/>
    </row>
    <row r="188" spans="2:6" ht="12.75">
      <c r="B188" s="200"/>
      <c r="C188" s="200"/>
      <c r="D188" s="200"/>
      <c r="E188" s="200"/>
      <c r="F188" s="200"/>
    </row>
    <row r="189" spans="2:6" ht="12.75">
      <c r="B189" s="200"/>
      <c r="C189" s="200"/>
      <c r="D189" s="200"/>
      <c r="E189" s="200"/>
      <c r="F189" s="200"/>
    </row>
    <row r="190" spans="2:6" ht="12.75">
      <c r="B190" s="200"/>
      <c r="C190" s="200"/>
      <c r="D190" s="200"/>
      <c r="E190" s="200"/>
      <c r="F190" s="200"/>
    </row>
    <row r="191" spans="2:6" ht="12.75">
      <c r="B191" s="200"/>
      <c r="C191" s="200"/>
      <c r="D191" s="200"/>
      <c r="E191" s="200"/>
      <c r="F191" s="200"/>
    </row>
    <row r="192" spans="2:6" ht="12.75">
      <c r="B192" s="200"/>
      <c r="C192" s="200"/>
      <c r="D192" s="200"/>
      <c r="E192" s="200"/>
      <c r="F192" s="200"/>
    </row>
    <row r="193" spans="2:6" ht="12.75">
      <c r="B193" s="200"/>
      <c r="C193" s="200"/>
      <c r="D193" s="200"/>
      <c r="E193" s="200"/>
      <c r="F193" s="200"/>
    </row>
    <row r="194" spans="2:6" ht="12.75">
      <c r="B194" s="200"/>
      <c r="C194" s="200"/>
      <c r="D194" s="200"/>
      <c r="E194" s="200"/>
      <c r="F194" s="200"/>
    </row>
    <row r="195" spans="2:6" ht="12.75">
      <c r="B195" s="200"/>
      <c r="C195" s="200"/>
      <c r="D195" s="200"/>
      <c r="E195" s="200"/>
      <c r="F195" s="200"/>
    </row>
    <row r="196" spans="2:6" ht="12.75">
      <c r="B196" s="200"/>
      <c r="C196" s="200"/>
      <c r="D196" s="200"/>
      <c r="E196" s="200"/>
      <c r="F196" s="200"/>
    </row>
    <row r="197" spans="2:6" ht="12.75">
      <c r="B197" s="200"/>
      <c r="C197" s="200"/>
      <c r="D197" s="200"/>
      <c r="E197" s="200"/>
      <c r="F197" s="200"/>
    </row>
    <row r="198" spans="2:6" ht="12.75">
      <c r="B198" s="200"/>
      <c r="C198" s="200"/>
      <c r="D198" s="200"/>
      <c r="E198" s="200"/>
      <c r="F198" s="200"/>
    </row>
    <row r="199" spans="2:6" ht="12.75">
      <c r="B199" s="200"/>
      <c r="C199" s="200"/>
      <c r="D199" s="200"/>
      <c r="E199" s="200"/>
      <c r="F199" s="200"/>
    </row>
    <row r="200" spans="2:6" ht="12.75">
      <c r="B200" s="200"/>
      <c r="C200" s="200"/>
      <c r="D200" s="200"/>
      <c r="E200" s="200"/>
      <c r="F200" s="200"/>
    </row>
    <row r="201" spans="2:6" ht="12.75">
      <c r="B201" s="200"/>
      <c r="C201" s="200"/>
      <c r="D201" s="200"/>
      <c r="E201" s="200"/>
      <c r="F201" s="200"/>
    </row>
    <row r="202" spans="2:6" ht="12.75">
      <c r="B202" s="200"/>
      <c r="C202" s="200"/>
      <c r="D202" s="200"/>
      <c r="E202" s="200"/>
      <c r="F202" s="200"/>
    </row>
    <row r="203" spans="2:6" ht="12.75">
      <c r="B203" s="200"/>
      <c r="C203" s="200"/>
      <c r="D203" s="200"/>
      <c r="E203" s="200"/>
      <c r="F203" s="200"/>
    </row>
    <row r="204" spans="2:6" ht="12.75">
      <c r="B204" s="200"/>
      <c r="C204" s="200"/>
      <c r="D204" s="200"/>
      <c r="E204" s="200"/>
      <c r="F204" s="200"/>
    </row>
    <row r="205" spans="2:6" ht="12.75">
      <c r="B205" s="200"/>
      <c r="C205" s="200"/>
      <c r="D205" s="200"/>
      <c r="E205" s="200"/>
      <c r="F205" s="200"/>
    </row>
    <row r="206" spans="2:6" ht="12.75">
      <c r="B206" s="200"/>
      <c r="C206" s="200"/>
      <c r="D206" s="200"/>
      <c r="E206" s="200"/>
      <c r="F206" s="200"/>
    </row>
    <row r="207" spans="2:6" ht="12.75">
      <c r="B207" s="200"/>
      <c r="C207" s="200"/>
      <c r="D207" s="200"/>
      <c r="E207" s="200"/>
      <c r="F207" s="200"/>
    </row>
    <row r="208" spans="2:6" ht="12.75">
      <c r="B208" s="200"/>
      <c r="C208" s="200"/>
      <c r="D208" s="200"/>
      <c r="E208" s="200"/>
      <c r="F208" s="200"/>
    </row>
    <row r="209" spans="2:6" ht="12.75">
      <c r="B209" s="200"/>
      <c r="C209" s="200"/>
      <c r="D209" s="200"/>
      <c r="E209" s="200"/>
      <c r="F209" s="200"/>
    </row>
    <row r="210" spans="2:6" ht="12.75">
      <c r="B210" s="200"/>
      <c r="C210" s="200"/>
      <c r="D210" s="200"/>
      <c r="E210" s="200"/>
      <c r="F210" s="200"/>
    </row>
    <row r="211" spans="2:6" ht="12.75">
      <c r="B211" s="200"/>
      <c r="C211" s="200"/>
      <c r="D211" s="200"/>
      <c r="E211" s="200"/>
      <c r="F211" s="200"/>
    </row>
    <row r="212" spans="2:6" ht="12.75">
      <c r="B212" s="200"/>
      <c r="C212" s="200"/>
      <c r="D212" s="200"/>
      <c r="E212" s="200"/>
      <c r="F212" s="200"/>
    </row>
    <row r="213" spans="2:6" ht="12.75">
      <c r="B213" s="200"/>
      <c r="C213" s="200"/>
      <c r="D213" s="200"/>
      <c r="E213" s="200"/>
      <c r="F213" s="200"/>
    </row>
    <row r="214" spans="2:6" ht="12.75">
      <c r="B214" s="200"/>
      <c r="C214" s="200"/>
      <c r="D214" s="200"/>
      <c r="E214" s="200"/>
      <c r="F214" s="200"/>
    </row>
    <row r="215" spans="2:6" ht="12.75">
      <c r="B215" s="200"/>
      <c r="C215" s="200"/>
      <c r="D215" s="200"/>
      <c r="E215" s="200"/>
      <c r="F215" s="200"/>
    </row>
    <row r="216" spans="2:6" ht="12.75">
      <c r="B216" s="200"/>
      <c r="C216" s="200"/>
      <c r="D216" s="200"/>
      <c r="E216" s="200"/>
      <c r="F216" s="200"/>
    </row>
    <row r="217" spans="2:6" ht="12.75">
      <c r="B217" s="200"/>
      <c r="C217" s="200"/>
      <c r="D217" s="200"/>
      <c r="E217" s="200"/>
      <c r="F217" s="200"/>
    </row>
    <row r="218" spans="2:6" ht="12.75">
      <c r="B218" s="200"/>
      <c r="C218" s="200"/>
      <c r="D218" s="200"/>
      <c r="E218" s="200"/>
      <c r="F218" s="200"/>
    </row>
    <row r="219" spans="2:6" ht="12.75">
      <c r="B219" s="200"/>
      <c r="C219" s="200"/>
      <c r="D219" s="200"/>
      <c r="E219" s="200"/>
      <c r="F219" s="200"/>
    </row>
    <row r="220" spans="2:6" ht="12.75">
      <c r="B220" s="200"/>
      <c r="C220" s="200"/>
      <c r="D220" s="200"/>
      <c r="E220" s="200"/>
      <c r="F220" s="200"/>
    </row>
    <row r="221" spans="2:6" ht="12.75">
      <c r="B221" s="200"/>
      <c r="C221" s="200"/>
      <c r="D221" s="200"/>
      <c r="E221" s="200"/>
      <c r="F221" s="200"/>
    </row>
    <row r="222" spans="2:6" ht="12.75">
      <c r="B222" s="200"/>
      <c r="C222" s="200"/>
      <c r="D222" s="200"/>
      <c r="E222" s="200"/>
      <c r="F222" s="200"/>
    </row>
    <row r="223" spans="2:6" ht="12.75">
      <c r="B223" s="200"/>
      <c r="C223" s="200"/>
      <c r="D223" s="200"/>
      <c r="E223" s="200"/>
      <c r="F223" s="200"/>
    </row>
    <row r="224" spans="2:6" ht="12.75">
      <c r="B224" s="200"/>
      <c r="C224" s="200"/>
      <c r="D224" s="200"/>
      <c r="E224" s="200"/>
      <c r="F224" s="200"/>
    </row>
    <row r="225" spans="2:6" ht="12.75">
      <c r="B225" s="200"/>
      <c r="C225" s="200"/>
      <c r="D225" s="200"/>
      <c r="E225" s="200"/>
      <c r="F225" s="200"/>
    </row>
    <row r="226" spans="2:6" ht="12.75">
      <c r="B226" s="200"/>
      <c r="C226" s="200"/>
      <c r="D226" s="200"/>
      <c r="E226" s="200"/>
      <c r="F226" s="200"/>
    </row>
    <row r="227" spans="2:6" ht="12.75">
      <c r="B227" s="200"/>
      <c r="C227" s="200"/>
      <c r="D227" s="200"/>
      <c r="E227" s="200"/>
      <c r="F227" s="200"/>
    </row>
    <row r="228" spans="2:6" ht="12.75">
      <c r="B228" s="200"/>
      <c r="C228" s="200"/>
      <c r="D228" s="200"/>
      <c r="E228" s="200"/>
      <c r="F228" s="200"/>
    </row>
    <row r="229" spans="2:6" ht="12.75">
      <c r="B229" s="200"/>
      <c r="C229" s="200"/>
      <c r="D229" s="200"/>
      <c r="E229" s="200"/>
      <c r="F229" s="200"/>
    </row>
    <row r="230" spans="2:6" ht="12.75">
      <c r="B230" s="200"/>
      <c r="C230" s="200"/>
      <c r="D230" s="200"/>
      <c r="E230" s="200"/>
      <c r="F230" s="200"/>
    </row>
    <row r="231" spans="2:6" ht="12.75">
      <c r="B231" s="200"/>
      <c r="C231" s="200"/>
      <c r="D231" s="200"/>
      <c r="E231" s="200"/>
      <c r="F231" s="200"/>
    </row>
    <row r="232" spans="2:6" ht="12.75">
      <c r="B232" s="200"/>
      <c r="C232" s="200"/>
      <c r="D232" s="200"/>
      <c r="E232" s="200"/>
      <c r="F232" s="200"/>
    </row>
    <row r="233" spans="2:6" ht="12.75">
      <c r="B233" s="200"/>
      <c r="C233" s="200"/>
      <c r="D233" s="200"/>
      <c r="E233" s="200"/>
      <c r="F233" s="200"/>
    </row>
    <row r="234" spans="2:6" ht="12.75">
      <c r="B234" s="200"/>
      <c r="C234" s="200"/>
      <c r="D234" s="200"/>
      <c r="E234" s="200"/>
      <c r="F234" s="200"/>
    </row>
    <row r="235" spans="2:6" ht="12.75">
      <c r="B235" s="200"/>
      <c r="C235" s="200"/>
      <c r="D235" s="200"/>
      <c r="E235" s="200"/>
      <c r="F235" s="200"/>
    </row>
    <row r="236" spans="2:6" ht="12.75">
      <c r="B236" s="200"/>
      <c r="C236" s="200"/>
      <c r="D236" s="200"/>
      <c r="E236" s="200"/>
      <c r="F236" s="200"/>
    </row>
    <row r="237" spans="2:6" ht="12.75">
      <c r="B237" s="200"/>
      <c r="C237" s="200"/>
      <c r="D237" s="200"/>
      <c r="E237" s="200"/>
      <c r="F237" s="200"/>
    </row>
    <row r="238" spans="2:6" ht="12.75">
      <c r="B238" s="200"/>
      <c r="C238" s="200"/>
      <c r="D238" s="200"/>
      <c r="E238" s="200"/>
      <c r="F238" s="200"/>
    </row>
    <row r="239" spans="2:6" ht="12.75">
      <c r="B239" s="200"/>
      <c r="C239" s="200"/>
      <c r="D239" s="200"/>
      <c r="E239" s="200"/>
      <c r="F239" s="200"/>
    </row>
    <row r="240" spans="2:6" ht="12.75">
      <c r="B240" s="200"/>
      <c r="C240" s="200"/>
      <c r="D240" s="200"/>
      <c r="E240" s="200"/>
      <c r="F240" s="200"/>
    </row>
    <row r="241" spans="2:6" ht="12.75">
      <c r="B241" s="200"/>
      <c r="C241" s="200"/>
      <c r="D241" s="200"/>
      <c r="E241" s="200"/>
      <c r="F241" s="200"/>
    </row>
    <row r="242" spans="2:6" ht="12.75">
      <c r="B242" s="200"/>
      <c r="C242" s="200"/>
      <c r="D242" s="200"/>
      <c r="E242" s="200"/>
      <c r="F242" s="200"/>
    </row>
    <row r="243" spans="2:6" ht="12.75">
      <c r="B243" s="200"/>
      <c r="C243" s="200"/>
      <c r="D243" s="200"/>
      <c r="E243" s="200"/>
      <c r="F243" s="200"/>
    </row>
    <row r="244" spans="2:6" ht="12.75">
      <c r="B244" s="200"/>
      <c r="C244" s="200"/>
      <c r="D244" s="200"/>
      <c r="E244" s="200"/>
      <c r="F244" s="200"/>
    </row>
    <row r="245" spans="2:6" ht="12.75">
      <c r="B245" s="200"/>
      <c r="C245" s="200"/>
      <c r="D245" s="200"/>
      <c r="E245" s="200"/>
      <c r="F245" s="200"/>
    </row>
    <row r="246" spans="2:6" ht="12.75">
      <c r="B246" s="200"/>
      <c r="C246" s="200"/>
      <c r="D246" s="200"/>
      <c r="E246" s="200"/>
      <c r="F246" s="200"/>
    </row>
    <row r="247" spans="2:6" ht="12.75">
      <c r="B247" s="200"/>
      <c r="C247" s="200"/>
      <c r="D247" s="200"/>
      <c r="E247" s="200"/>
      <c r="F247" s="200"/>
    </row>
    <row r="248" spans="2:6" ht="12.75">
      <c r="B248" s="200"/>
      <c r="C248" s="200"/>
      <c r="D248" s="200"/>
      <c r="E248" s="200"/>
      <c r="F248" s="200"/>
    </row>
    <row r="249" spans="2:6" ht="12.75">
      <c r="B249" s="200"/>
      <c r="C249" s="200"/>
      <c r="D249" s="200"/>
      <c r="E249" s="200"/>
      <c r="F249" s="200"/>
    </row>
    <row r="250" spans="2:6" ht="12.75">
      <c r="B250" s="200"/>
      <c r="C250" s="200"/>
      <c r="D250" s="200"/>
      <c r="E250" s="200"/>
      <c r="F250" s="200"/>
    </row>
    <row r="251" spans="2:6" ht="12.75">
      <c r="B251" s="200"/>
      <c r="C251" s="200"/>
      <c r="D251" s="200"/>
      <c r="E251" s="200"/>
      <c r="F251" s="200"/>
    </row>
    <row r="252" spans="2:6" ht="12.75">
      <c r="B252" s="200"/>
      <c r="C252" s="200"/>
      <c r="D252" s="200"/>
      <c r="E252" s="200"/>
      <c r="F252" s="200"/>
    </row>
    <row r="253" spans="2:6" ht="12.75">
      <c r="B253" s="200"/>
      <c r="C253" s="200"/>
      <c r="D253" s="200"/>
      <c r="E253" s="200"/>
      <c r="F253" s="200"/>
    </row>
    <row r="254" spans="2:6" ht="12.75">
      <c r="B254" s="200"/>
      <c r="C254" s="200"/>
      <c r="D254" s="200"/>
      <c r="E254" s="200"/>
      <c r="F254" s="200"/>
    </row>
    <row r="255" spans="2:6" ht="12.75">
      <c r="B255" s="200"/>
      <c r="C255" s="200"/>
      <c r="D255" s="200"/>
      <c r="E255" s="200"/>
      <c r="F255" s="200"/>
    </row>
    <row r="256" spans="2:6" ht="12.75">
      <c r="B256" s="200"/>
      <c r="C256" s="200"/>
      <c r="D256" s="200"/>
      <c r="E256" s="200"/>
      <c r="F256" s="200"/>
    </row>
    <row r="257" spans="2:6" ht="12.75">
      <c r="B257" s="200"/>
      <c r="C257" s="200"/>
      <c r="D257" s="200"/>
      <c r="E257" s="200"/>
      <c r="F257" s="200"/>
    </row>
    <row r="258" spans="2:6" ht="12.75">
      <c r="B258" s="200"/>
      <c r="C258" s="200"/>
      <c r="D258" s="200"/>
      <c r="E258" s="200"/>
      <c r="F258" s="200"/>
    </row>
    <row r="259" spans="2:6" ht="12.75">
      <c r="B259" s="200"/>
      <c r="C259" s="200"/>
      <c r="D259" s="200"/>
      <c r="E259" s="200"/>
      <c r="F259" s="200"/>
    </row>
    <row r="260" spans="2:6" ht="12.75">
      <c r="B260" s="200"/>
      <c r="C260" s="200"/>
      <c r="D260" s="200"/>
      <c r="E260" s="200"/>
      <c r="F260" s="200"/>
    </row>
    <row r="261" spans="2:6" ht="12.75">
      <c r="B261" s="200"/>
      <c r="C261" s="200"/>
      <c r="D261" s="200"/>
      <c r="E261" s="200"/>
      <c r="F261" s="200"/>
    </row>
    <row r="262" spans="2:6" ht="12.75">
      <c r="B262" s="200"/>
      <c r="C262" s="200"/>
      <c r="D262" s="200"/>
      <c r="E262" s="200"/>
      <c r="F262" s="200"/>
    </row>
    <row r="263" spans="2:6" ht="12.75">
      <c r="B263" s="200"/>
      <c r="C263" s="200"/>
      <c r="D263" s="200"/>
      <c r="E263" s="200"/>
      <c r="F263" s="200"/>
    </row>
    <row r="264" spans="2:6" ht="12.75">
      <c r="B264" s="200"/>
      <c r="C264" s="200"/>
      <c r="D264" s="200"/>
      <c r="E264" s="200"/>
      <c r="F264" s="200"/>
    </row>
    <row r="265" spans="2:6" ht="12.75">
      <c r="B265" s="200"/>
      <c r="C265" s="200"/>
      <c r="D265" s="200"/>
      <c r="E265" s="200"/>
      <c r="F265" s="200"/>
    </row>
    <row r="266" spans="2:6" ht="12.75">
      <c r="B266" s="200"/>
      <c r="C266" s="200"/>
      <c r="D266" s="200"/>
      <c r="E266" s="200"/>
      <c r="F266" s="200"/>
    </row>
    <row r="267" spans="2:6" ht="12.75">
      <c r="B267" s="200"/>
      <c r="C267" s="200"/>
      <c r="D267" s="200"/>
      <c r="E267" s="200"/>
      <c r="F267" s="200"/>
    </row>
    <row r="268" spans="2:6" ht="12.75">
      <c r="B268" s="200"/>
      <c r="C268" s="200"/>
      <c r="D268" s="200"/>
      <c r="E268" s="200"/>
      <c r="F268" s="200"/>
    </row>
    <row r="269" spans="2:6" ht="12.75">
      <c r="B269" s="200"/>
      <c r="C269" s="200"/>
      <c r="D269" s="200"/>
      <c r="E269" s="200"/>
      <c r="F269" s="200"/>
    </row>
    <row r="270" spans="2:6" ht="12.75">
      <c r="B270" s="200"/>
      <c r="C270" s="200"/>
      <c r="D270" s="200"/>
      <c r="E270" s="200"/>
      <c r="F270" s="200"/>
    </row>
    <row r="271" spans="2:6" ht="12.75">
      <c r="B271" s="200"/>
      <c r="C271" s="200"/>
      <c r="D271" s="200"/>
      <c r="E271" s="200"/>
      <c r="F271" s="200"/>
    </row>
    <row r="272" spans="2:6" ht="12.75">
      <c r="B272" s="200"/>
      <c r="C272" s="200"/>
      <c r="D272" s="200"/>
      <c r="E272" s="200"/>
      <c r="F272" s="200"/>
    </row>
    <row r="273" spans="2:6" ht="12.75">
      <c r="B273" s="200"/>
      <c r="C273" s="200"/>
      <c r="D273" s="200"/>
      <c r="E273" s="200"/>
      <c r="F273" s="200"/>
    </row>
    <row r="274" spans="2:6" ht="12.75">
      <c r="B274" s="200"/>
      <c r="C274" s="200"/>
      <c r="D274" s="200"/>
      <c r="E274" s="200"/>
      <c r="F274" s="200"/>
    </row>
    <row r="275" spans="2:6" ht="12.75">
      <c r="B275" s="200"/>
      <c r="C275" s="200"/>
      <c r="D275" s="200"/>
      <c r="E275" s="200"/>
      <c r="F275" s="200"/>
    </row>
    <row r="276" spans="2:6" ht="12.75">
      <c r="B276" s="200"/>
      <c r="C276" s="200"/>
      <c r="D276" s="200"/>
      <c r="E276" s="200"/>
      <c r="F276" s="200"/>
    </row>
    <row r="277" spans="2:6" ht="12.75">
      <c r="B277" s="200"/>
      <c r="C277" s="200"/>
      <c r="D277" s="200"/>
      <c r="E277" s="200"/>
      <c r="F277" s="200"/>
    </row>
    <row r="278" spans="2:6" ht="12.75">
      <c r="B278" s="200"/>
      <c r="C278" s="200"/>
      <c r="D278" s="200"/>
      <c r="E278" s="200"/>
      <c r="F278" s="200"/>
    </row>
    <row r="279" spans="2:6" ht="12.75">
      <c r="B279" s="200"/>
      <c r="C279" s="200"/>
      <c r="D279" s="200"/>
      <c r="E279" s="200"/>
      <c r="F279" s="200"/>
    </row>
    <row r="280" spans="2:6" ht="12.75">
      <c r="B280" s="200"/>
      <c r="C280" s="200"/>
      <c r="D280" s="200"/>
      <c r="E280" s="200"/>
      <c r="F280" s="200"/>
    </row>
    <row r="281" spans="2:6" ht="12.75">
      <c r="B281" s="200"/>
      <c r="C281" s="200"/>
      <c r="D281" s="200"/>
      <c r="E281" s="200"/>
      <c r="F281" s="200"/>
    </row>
    <row r="282" spans="2:6" ht="12.75">
      <c r="B282" s="200"/>
      <c r="C282" s="200"/>
      <c r="D282" s="200"/>
      <c r="E282" s="200"/>
      <c r="F282" s="200"/>
    </row>
    <row r="283" spans="2:6" ht="12.75">
      <c r="B283" s="200"/>
      <c r="C283" s="200"/>
      <c r="D283" s="200"/>
      <c r="E283" s="200"/>
      <c r="F283" s="200"/>
    </row>
    <row r="284" spans="2:6" ht="12.75">
      <c r="B284" s="200"/>
      <c r="C284" s="200"/>
      <c r="D284" s="200"/>
      <c r="E284" s="200"/>
      <c r="F284" s="200"/>
    </row>
    <row r="285" spans="2:6" ht="12.75">
      <c r="B285" s="200"/>
      <c r="C285" s="200"/>
      <c r="D285" s="200"/>
      <c r="E285" s="200"/>
      <c r="F285" s="200"/>
    </row>
    <row r="286" spans="2:6" ht="12.75">
      <c r="B286" s="200"/>
      <c r="C286" s="200"/>
      <c r="D286" s="200"/>
      <c r="E286" s="200"/>
      <c r="F286" s="200"/>
    </row>
    <row r="287" spans="2:6" ht="12.75">
      <c r="B287" s="200"/>
      <c r="C287" s="200"/>
      <c r="D287" s="200"/>
      <c r="E287" s="200"/>
      <c r="F287" s="200"/>
    </row>
    <row r="288" spans="2:6" ht="12.75">
      <c r="B288" s="200"/>
      <c r="C288" s="200"/>
      <c r="D288" s="200"/>
      <c r="E288" s="200"/>
      <c r="F288" s="200"/>
    </row>
    <row r="289" spans="2:6" ht="12.75">
      <c r="B289" s="200"/>
      <c r="C289" s="200"/>
      <c r="D289" s="200"/>
      <c r="E289" s="200"/>
      <c r="F289" s="200"/>
    </row>
    <row r="290" spans="2:6" ht="12.75">
      <c r="B290" s="200"/>
      <c r="C290" s="200"/>
      <c r="D290" s="200"/>
      <c r="E290" s="200"/>
      <c r="F290" s="200"/>
    </row>
    <row r="291" spans="2:6" ht="12.75">
      <c r="B291" s="200"/>
      <c r="C291" s="200"/>
      <c r="D291" s="200"/>
      <c r="E291" s="200"/>
      <c r="F291" s="200"/>
    </row>
    <row r="292" spans="2:6" ht="12.75">
      <c r="B292" s="200"/>
      <c r="C292" s="200"/>
      <c r="D292" s="200"/>
      <c r="E292" s="200"/>
      <c r="F292" s="200"/>
    </row>
    <row r="293" spans="2:6" ht="12.75">
      <c r="B293" s="200"/>
      <c r="C293" s="200"/>
      <c r="D293" s="200"/>
      <c r="E293" s="200"/>
      <c r="F293" s="200"/>
    </row>
    <row r="294" spans="2:6" ht="12.75">
      <c r="B294" s="200"/>
      <c r="C294" s="200"/>
      <c r="D294" s="200"/>
      <c r="E294" s="200"/>
      <c r="F294" s="200"/>
    </row>
    <row r="295" spans="2:6" ht="12.75">
      <c r="B295" s="200"/>
      <c r="C295" s="200"/>
      <c r="D295" s="200"/>
      <c r="E295" s="200"/>
      <c r="F295" s="200"/>
    </row>
    <row r="296" spans="2:6" ht="12.75">
      <c r="B296" s="200"/>
      <c r="C296" s="200"/>
      <c r="D296" s="200"/>
      <c r="E296" s="200"/>
      <c r="F296" s="200"/>
    </row>
    <row r="297" spans="2:6" ht="12.75">
      <c r="B297" s="200"/>
      <c r="C297" s="200"/>
      <c r="D297" s="200"/>
      <c r="E297" s="200"/>
      <c r="F297" s="200"/>
    </row>
    <row r="298" spans="2:6" ht="12.75">
      <c r="B298" s="200"/>
      <c r="C298" s="200"/>
      <c r="D298" s="200"/>
      <c r="E298" s="200"/>
      <c r="F298" s="200"/>
    </row>
    <row r="299" spans="2:6" ht="12.75">
      <c r="B299" s="200"/>
      <c r="C299" s="200"/>
      <c r="D299" s="200"/>
      <c r="E299" s="200"/>
      <c r="F299" s="200"/>
    </row>
    <row r="300" spans="2:6" ht="12.75">
      <c r="B300" s="200"/>
      <c r="C300" s="200"/>
      <c r="D300" s="200"/>
      <c r="E300" s="200"/>
      <c r="F300" s="200"/>
    </row>
    <row r="301" spans="2:6" ht="12.75">
      <c r="B301" s="200"/>
      <c r="C301" s="200"/>
      <c r="D301" s="200"/>
      <c r="E301" s="200"/>
      <c r="F301" s="200"/>
    </row>
    <row r="302" spans="2:6" ht="12.75">
      <c r="B302" s="200"/>
      <c r="C302" s="200"/>
      <c r="D302" s="200"/>
      <c r="E302" s="200"/>
      <c r="F302" s="200"/>
    </row>
    <row r="303" spans="2:6" ht="12.75">
      <c r="B303" s="200"/>
      <c r="C303" s="200"/>
      <c r="D303" s="200"/>
      <c r="E303" s="200"/>
      <c r="F303" s="200"/>
    </row>
    <row r="304" spans="2:6" ht="12.75">
      <c r="B304" s="200"/>
      <c r="C304" s="200"/>
      <c r="D304" s="200"/>
      <c r="E304" s="200"/>
      <c r="F304" s="200"/>
    </row>
    <row r="305" spans="2:6" ht="12.75">
      <c r="B305" s="200"/>
      <c r="C305" s="200"/>
      <c r="D305" s="200"/>
      <c r="E305" s="200"/>
      <c r="F305" s="200"/>
    </row>
    <row r="306" spans="2:6" ht="12.75">
      <c r="B306" s="200"/>
      <c r="C306" s="200"/>
      <c r="D306" s="200"/>
      <c r="E306" s="200"/>
      <c r="F306" s="200"/>
    </row>
    <row r="307" spans="2:6" ht="12.75">
      <c r="B307" s="200"/>
      <c r="C307" s="200"/>
      <c r="D307" s="200"/>
      <c r="E307" s="200"/>
      <c r="F307" s="200"/>
    </row>
    <row r="308" spans="2:6" ht="12.75">
      <c r="B308" s="200"/>
      <c r="C308" s="200"/>
      <c r="D308" s="200"/>
      <c r="E308" s="200"/>
      <c r="F308" s="200"/>
    </row>
    <row r="309" spans="2:6" ht="12.75">
      <c r="B309" s="200"/>
      <c r="C309" s="200"/>
      <c r="D309" s="200"/>
      <c r="E309" s="200"/>
      <c r="F309" s="200"/>
    </row>
    <row r="310" spans="2:6" ht="12.75">
      <c r="B310" s="200"/>
      <c r="C310" s="200"/>
      <c r="D310" s="200"/>
      <c r="E310" s="200"/>
      <c r="F310" s="200"/>
    </row>
    <row r="311" spans="2:6" ht="12.75">
      <c r="B311" s="200"/>
      <c r="C311" s="200"/>
      <c r="D311" s="200"/>
      <c r="E311" s="200"/>
      <c r="F311" s="200"/>
    </row>
    <row r="312" spans="2:6" ht="12.75">
      <c r="B312" s="200"/>
      <c r="C312" s="200"/>
      <c r="D312" s="200"/>
      <c r="E312" s="200"/>
      <c r="F312" s="200"/>
    </row>
    <row r="313" spans="2:6" ht="12.75">
      <c r="B313" s="200"/>
      <c r="C313" s="200"/>
      <c r="D313" s="200"/>
      <c r="E313" s="200"/>
      <c r="F313" s="200"/>
    </row>
    <row r="314" spans="2:6" ht="12.75">
      <c r="B314" s="200"/>
      <c r="C314" s="200"/>
      <c r="D314" s="200"/>
      <c r="E314" s="200"/>
      <c r="F314" s="200"/>
    </row>
    <row r="315" spans="2:6" ht="12.75">
      <c r="B315" s="200"/>
      <c r="C315" s="200"/>
      <c r="D315" s="200"/>
      <c r="E315" s="200"/>
      <c r="F315" s="200"/>
    </row>
    <row r="316" spans="2:6" ht="12.75">
      <c r="B316" s="200"/>
      <c r="C316" s="200"/>
      <c r="D316" s="200"/>
      <c r="E316" s="200"/>
      <c r="F316" s="200"/>
    </row>
    <row r="317" spans="2:6" ht="12.75">
      <c r="B317" s="200"/>
      <c r="C317" s="200"/>
      <c r="D317" s="200"/>
      <c r="E317" s="200"/>
      <c r="F317" s="200"/>
    </row>
    <row r="318" spans="2:6" ht="12.75">
      <c r="B318" s="200"/>
      <c r="C318" s="200"/>
      <c r="D318" s="200"/>
      <c r="E318" s="200"/>
      <c r="F318" s="200"/>
    </row>
    <row r="319" spans="2:6" ht="12.75">
      <c r="B319" s="200"/>
      <c r="C319" s="200"/>
      <c r="D319" s="200"/>
      <c r="E319" s="200"/>
      <c r="F319" s="200"/>
    </row>
    <row r="320" spans="2:6" ht="12.75">
      <c r="B320" s="200"/>
      <c r="C320" s="200"/>
      <c r="D320" s="200"/>
      <c r="E320" s="200"/>
      <c r="F320" s="200"/>
    </row>
    <row r="321" spans="2:6" ht="12.75">
      <c r="B321" s="200"/>
      <c r="C321" s="200"/>
      <c r="D321" s="200"/>
      <c r="E321" s="200"/>
      <c r="F321" s="200"/>
    </row>
    <row r="322" spans="2:6" ht="12.75">
      <c r="B322" s="200"/>
      <c r="C322" s="200"/>
      <c r="D322" s="200"/>
      <c r="E322" s="200"/>
      <c r="F322" s="200"/>
    </row>
    <row r="323" spans="2:6" ht="12.75">
      <c r="B323" s="200"/>
      <c r="C323" s="200"/>
      <c r="D323" s="200"/>
      <c r="E323" s="200"/>
      <c r="F323" s="200"/>
    </row>
    <row r="324" spans="2:6" ht="12.75">
      <c r="B324" s="200"/>
      <c r="C324" s="200"/>
      <c r="D324" s="200"/>
      <c r="E324" s="200"/>
      <c r="F324" s="200"/>
    </row>
    <row r="325" spans="2:6" ht="12.75">
      <c r="B325" s="200"/>
      <c r="C325" s="200"/>
      <c r="D325" s="200"/>
      <c r="E325" s="200"/>
      <c r="F325" s="200"/>
    </row>
    <row r="326" spans="2:6" ht="12.75">
      <c r="B326" s="200"/>
      <c r="C326" s="200"/>
      <c r="D326" s="200"/>
      <c r="E326" s="200"/>
      <c r="F326" s="200"/>
    </row>
    <row r="327" spans="2:6" ht="12.75">
      <c r="B327" s="200"/>
      <c r="C327" s="200"/>
      <c r="D327" s="200"/>
      <c r="E327" s="200"/>
      <c r="F327" s="200"/>
    </row>
    <row r="328" spans="2:6" ht="12.75">
      <c r="B328" s="200"/>
      <c r="C328" s="200"/>
      <c r="D328" s="200"/>
      <c r="E328" s="200"/>
      <c r="F328" s="200"/>
    </row>
    <row r="329" spans="2:6" ht="12.75">
      <c r="B329" s="200"/>
      <c r="C329" s="200"/>
      <c r="D329" s="200"/>
      <c r="E329" s="200"/>
      <c r="F329" s="200"/>
    </row>
    <row r="330" spans="2:6" ht="12.75">
      <c r="B330" s="200"/>
      <c r="C330" s="200"/>
      <c r="D330" s="200"/>
      <c r="E330" s="200"/>
      <c r="F330" s="200"/>
    </row>
    <row r="331" spans="2:6" ht="12.75">
      <c r="B331" s="200"/>
      <c r="C331" s="200"/>
      <c r="D331" s="200"/>
      <c r="E331" s="200"/>
      <c r="F331" s="200"/>
    </row>
    <row r="332" spans="2:6" ht="12.75">
      <c r="B332" s="200"/>
      <c r="C332" s="200"/>
      <c r="D332" s="200"/>
      <c r="E332" s="200"/>
      <c r="F332" s="200"/>
    </row>
    <row r="333" spans="2:6" ht="12.75">
      <c r="B333" s="200"/>
      <c r="C333" s="200"/>
      <c r="D333" s="200"/>
      <c r="E333" s="200"/>
      <c r="F333" s="200"/>
    </row>
    <row r="334" spans="2:6" ht="12.75">
      <c r="B334" s="200"/>
      <c r="C334" s="200"/>
      <c r="D334" s="200"/>
      <c r="E334" s="200"/>
      <c r="F334" s="200"/>
    </row>
    <row r="335" spans="2:6" ht="12.75">
      <c r="B335" s="200"/>
      <c r="C335" s="200"/>
      <c r="D335" s="200"/>
      <c r="E335" s="200"/>
      <c r="F335" s="200"/>
    </row>
    <row r="336" spans="2:6" ht="12.75">
      <c r="B336" s="200"/>
      <c r="C336" s="200"/>
      <c r="D336" s="200"/>
      <c r="E336" s="200"/>
      <c r="F336" s="200"/>
    </row>
    <row r="337" spans="2:6" ht="12.75">
      <c r="B337" s="200"/>
      <c r="C337" s="200"/>
      <c r="D337" s="200"/>
      <c r="E337" s="200"/>
      <c r="F337" s="200"/>
    </row>
    <row r="338" spans="2:6" ht="12.75">
      <c r="B338" s="200"/>
      <c r="C338" s="200"/>
      <c r="D338" s="200"/>
      <c r="E338" s="200"/>
      <c r="F338" s="200"/>
    </row>
    <row r="339" spans="2:6" ht="12.75">
      <c r="B339" s="200"/>
      <c r="C339" s="200"/>
      <c r="D339" s="200"/>
      <c r="E339" s="200"/>
      <c r="F339" s="200"/>
    </row>
    <row r="340" spans="2:6" ht="12.75">
      <c r="B340" s="200"/>
      <c r="C340" s="200"/>
      <c r="D340" s="200"/>
      <c r="E340" s="200"/>
      <c r="F340" s="200"/>
    </row>
    <row r="341" spans="2:6" ht="12.75">
      <c r="B341" s="200"/>
      <c r="C341" s="200"/>
      <c r="D341" s="200"/>
      <c r="E341" s="200"/>
      <c r="F341" s="200"/>
    </row>
    <row r="342" spans="2:6" ht="12.75">
      <c r="B342" s="200"/>
      <c r="C342" s="200"/>
      <c r="D342" s="200"/>
      <c r="E342" s="200"/>
      <c r="F342" s="200"/>
    </row>
    <row r="343" spans="2:6" ht="12.75">
      <c r="B343" s="200"/>
      <c r="C343" s="200"/>
      <c r="D343" s="200"/>
      <c r="E343" s="200"/>
      <c r="F343" s="200"/>
    </row>
    <row r="344" spans="2:6" ht="12.75">
      <c r="B344" s="200"/>
      <c r="C344" s="200"/>
      <c r="D344" s="200"/>
      <c r="E344" s="200"/>
      <c r="F344" s="200"/>
    </row>
    <row r="345" spans="2:6" ht="12.75">
      <c r="B345" s="200"/>
      <c r="C345" s="200"/>
      <c r="D345" s="200"/>
      <c r="E345" s="200"/>
      <c r="F345" s="200"/>
    </row>
    <row r="346" spans="2:6" ht="12.75">
      <c r="B346" s="200"/>
      <c r="C346" s="200"/>
      <c r="D346" s="200"/>
      <c r="E346" s="200"/>
      <c r="F346" s="200"/>
    </row>
    <row r="347" spans="2:6" ht="12.75">
      <c r="B347" s="200"/>
      <c r="C347" s="200"/>
      <c r="D347" s="200"/>
      <c r="E347" s="200"/>
      <c r="F347" s="200"/>
    </row>
    <row r="348" spans="2:6" ht="12.75">
      <c r="B348" s="200"/>
      <c r="C348" s="200"/>
      <c r="D348" s="200"/>
      <c r="E348" s="200"/>
      <c r="F348" s="200"/>
    </row>
    <row r="349" spans="2:6" ht="12.75">
      <c r="B349" s="200"/>
      <c r="C349" s="200"/>
      <c r="D349" s="200"/>
      <c r="E349" s="200"/>
      <c r="F349" s="200"/>
    </row>
    <row r="350" spans="2:6" ht="12.75">
      <c r="B350" s="200"/>
      <c r="C350" s="200"/>
      <c r="D350" s="200"/>
      <c r="E350" s="200"/>
      <c r="F350" s="200"/>
    </row>
    <row r="351" spans="2:6" ht="12.75">
      <c r="B351" s="200"/>
      <c r="C351" s="200"/>
      <c r="D351" s="200"/>
      <c r="E351" s="200"/>
      <c r="F351" s="200"/>
    </row>
    <row r="352" spans="2:6" ht="12.75">
      <c r="B352" s="200"/>
      <c r="C352" s="200"/>
      <c r="D352" s="200"/>
      <c r="E352" s="200"/>
      <c r="F352" s="200"/>
    </row>
    <row r="353" spans="2:6" ht="12.75">
      <c r="B353" s="200"/>
      <c r="C353" s="200"/>
      <c r="D353" s="200"/>
      <c r="E353" s="200"/>
      <c r="F353" s="200"/>
    </row>
    <row r="354" spans="2:6" ht="12.75">
      <c r="B354" s="200"/>
      <c r="C354" s="200"/>
      <c r="D354" s="200"/>
      <c r="E354" s="200"/>
      <c r="F354" s="200"/>
    </row>
    <row r="355" spans="2:6" ht="12.75">
      <c r="B355" s="200"/>
      <c r="C355" s="200"/>
      <c r="D355" s="200"/>
      <c r="E355" s="200"/>
      <c r="F355" s="200"/>
    </row>
    <row r="356" spans="2:6" ht="12.75">
      <c r="B356" s="200"/>
      <c r="C356" s="200"/>
      <c r="D356" s="200"/>
      <c r="E356" s="200"/>
      <c r="F356" s="200"/>
    </row>
    <row r="357" spans="2:6" ht="12.75">
      <c r="B357" s="200"/>
      <c r="C357" s="200"/>
      <c r="D357" s="200"/>
      <c r="E357" s="200"/>
      <c r="F357" s="200"/>
    </row>
    <row r="358" spans="2:6" ht="12.75">
      <c r="B358" s="200"/>
      <c r="C358" s="200"/>
      <c r="D358" s="200"/>
      <c r="E358" s="200"/>
      <c r="F358" s="200"/>
    </row>
    <row r="359" spans="2:6" ht="12.75">
      <c r="B359" s="200"/>
      <c r="C359" s="200"/>
      <c r="D359" s="200"/>
      <c r="E359" s="200"/>
      <c r="F359" s="200"/>
    </row>
    <row r="360" spans="2:6" ht="12.75">
      <c r="B360" s="200"/>
      <c r="C360" s="200"/>
      <c r="D360" s="200"/>
      <c r="E360" s="200"/>
      <c r="F360" s="200"/>
    </row>
    <row r="361" spans="2:6" ht="12.75">
      <c r="B361" s="200"/>
      <c r="C361" s="200"/>
      <c r="D361" s="200"/>
      <c r="E361" s="200"/>
      <c r="F361" s="200"/>
    </row>
    <row r="362" spans="2:6" ht="12.75">
      <c r="B362" s="200"/>
      <c r="C362" s="200"/>
      <c r="D362" s="200"/>
      <c r="E362" s="200"/>
      <c r="F362" s="200"/>
    </row>
    <row r="363" spans="2:6" ht="12.75">
      <c r="B363" s="200"/>
      <c r="C363" s="200"/>
      <c r="D363" s="200"/>
      <c r="E363" s="200"/>
      <c r="F363" s="200"/>
    </row>
    <row r="364" spans="2:6" ht="12.75">
      <c r="B364" s="200"/>
      <c r="C364" s="200"/>
      <c r="D364" s="200"/>
      <c r="E364" s="200"/>
      <c r="F364" s="200"/>
    </row>
    <row r="365" spans="2:6" ht="12.75">
      <c r="B365" s="200"/>
      <c r="C365" s="200"/>
      <c r="D365" s="200"/>
      <c r="E365" s="200"/>
      <c r="F365" s="200"/>
    </row>
    <row r="366" spans="2:6" ht="12.75">
      <c r="B366" s="200"/>
      <c r="C366" s="200"/>
      <c r="D366" s="200"/>
      <c r="E366" s="200"/>
      <c r="F366" s="200"/>
    </row>
    <row r="367" spans="2:6" ht="12.75">
      <c r="B367" s="200"/>
      <c r="C367" s="200"/>
      <c r="D367" s="200"/>
      <c r="E367" s="200"/>
      <c r="F367" s="200"/>
    </row>
    <row r="368" spans="2:6" ht="12.75">
      <c r="B368" s="200"/>
      <c r="C368" s="200"/>
      <c r="D368" s="200"/>
      <c r="E368" s="200"/>
      <c r="F368" s="200"/>
    </row>
    <row r="369" spans="2:6" ht="12.75">
      <c r="B369" s="200"/>
      <c r="C369" s="200"/>
      <c r="D369" s="200"/>
      <c r="E369" s="200"/>
      <c r="F369" s="200"/>
    </row>
    <row r="370" spans="2:6" ht="12.75">
      <c r="B370" s="200"/>
      <c r="C370" s="200"/>
      <c r="D370" s="200"/>
      <c r="E370" s="200"/>
      <c r="F370" s="200"/>
    </row>
    <row r="371" spans="2:6" ht="12.75">
      <c r="B371" s="200"/>
      <c r="C371" s="200"/>
      <c r="D371" s="200"/>
      <c r="E371" s="200"/>
      <c r="F371" s="200"/>
    </row>
    <row r="372" spans="2:6" ht="12.75">
      <c r="B372" s="200"/>
      <c r="C372" s="200"/>
      <c r="D372" s="200"/>
      <c r="E372" s="200"/>
      <c r="F372" s="200"/>
    </row>
    <row r="373" spans="2:6" ht="12.75">
      <c r="B373" s="200"/>
      <c r="C373" s="200"/>
      <c r="D373" s="200"/>
      <c r="E373" s="200"/>
      <c r="F373" s="200"/>
    </row>
    <row r="374" spans="2:6" ht="12.75">
      <c r="B374" s="200"/>
      <c r="C374" s="200"/>
      <c r="D374" s="200"/>
      <c r="E374" s="200"/>
      <c r="F374" s="200"/>
    </row>
    <row r="375" spans="2:6" ht="12.75">
      <c r="B375" s="200"/>
      <c r="C375" s="200"/>
      <c r="D375" s="200"/>
      <c r="E375" s="200"/>
      <c r="F375" s="200"/>
    </row>
    <row r="376" spans="2:6" ht="12.75">
      <c r="B376" s="200"/>
      <c r="C376" s="200"/>
      <c r="D376" s="200"/>
      <c r="E376" s="200"/>
      <c r="F376" s="200"/>
    </row>
    <row r="377" spans="2:6" ht="12.75">
      <c r="B377" s="200"/>
      <c r="C377" s="200"/>
      <c r="D377" s="200"/>
      <c r="E377" s="200"/>
      <c r="F377" s="200"/>
    </row>
    <row r="378" spans="2:6" ht="12.75">
      <c r="B378" s="200"/>
      <c r="C378" s="200"/>
      <c r="D378" s="200"/>
      <c r="E378" s="200"/>
      <c r="F378" s="200"/>
    </row>
    <row r="379" spans="2:6" ht="12.75">
      <c r="B379" s="200"/>
      <c r="C379" s="200"/>
      <c r="D379" s="200"/>
      <c r="E379" s="200"/>
      <c r="F379" s="200"/>
    </row>
    <row r="380" spans="2:6" ht="12.75">
      <c r="B380" s="200"/>
      <c r="C380" s="200"/>
      <c r="D380" s="200"/>
      <c r="E380" s="200"/>
      <c r="F380" s="200"/>
    </row>
    <row r="381" spans="2:6" ht="12.75">
      <c r="B381" s="200"/>
      <c r="C381" s="200"/>
      <c r="D381" s="200"/>
      <c r="E381" s="200"/>
      <c r="F381" s="200"/>
    </row>
    <row r="382" spans="2:6" ht="12.75">
      <c r="B382" s="200"/>
      <c r="C382" s="200"/>
      <c r="D382" s="200"/>
      <c r="E382" s="200"/>
      <c r="F382" s="200"/>
    </row>
    <row r="383" spans="2:6" ht="12.75">
      <c r="B383" s="200"/>
      <c r="C383" s="200"/>
      <c r="D383" s="200"/>
      <c r="E383" s="200"/>
      <c r="F383" s="200"/>
    </row>
    <row r="384" spans="2:6" ht="12.75">
      <c r="B384" s="200"/>
      <c r="C384" s="200"/>
      <c r="D384" s="200"/>
      <c r="E384" s="200"/>
      <c r="F384" s="200"/>
    </row>
    <row r="385" spans="2:6" ht="12.75">
      <c r="B385" s="200"/>
      <c r="C385" s="200"/>
      <c r="D385" s="200"/>
      <c r="E385" s="200"/>
      <c r="F385" s="200"/>
    </row>
    <row r="386" spans="2:6" ht="12.75">
      <c r="B386" s="200"/>
      <c r="C386" s="200"/>
      <c r="D386" s="200"/>
      <c r="E386" s="200"/>
      <c r="F386" s="200"/>
    </row>
    <row r="387" spans="2:6" ht="12.75">
      <c r="B387" s="200"/>
      <c r="C387" s="200"/>
      <c r="D387" s="200"/>
      <c r="E387" s="200"/>
      <c r="F387" s="200"/>
    </row>
    <row r="388" spans="2:6" ht="12.75">
      <c r="B388" s="200"/>
      <c r="C388" s="200"/>
      <c r="D388" s="200"/>
      <c r="E388" s="200"/>
      <c r="F388" s="200"/>
    </row>
    <row r="389" spans="2:6" ht="12.75">
      <c r="B389" s="200"/>
      <c r="C389" s="200"/>
      <c r="D389" s="200"/>
      <c r="E389" s="200"/>
      <c r="F389" s="200"/>
    </row>
    <row r="390" spans="2:6" ht="12.75">
      <c r="B390" s="200"/>
      <c r="C390" s="200"/>
      <c r="D390" s="200"/>
      <c r="E390" s="200"/>
      <c r="F390" s="200"/>
    </row>
    <row r="391" spans="2:6" ht="12.75">
      <c r="B391" s="200"/>
      <c r="C391" s="200"/>
      <c r="D391" s="200"/>
      <c r="E391" s="200"/>
      <c r="F391" s="200"/>
    </row>
    <row r="392" spans="2:6" ht="12.75">
      <c r="B392" s="200"/>
      <c r="C392" s="200"/>
      <c r="D392" s="200"/>
      <c r="E392" s="200"/>
      <c r="F392" s="200"/>
    </row>
    <row r="393" spans="2:6" ht="12.75">
      <c r="B393" s="200"/>
      <c r="C393" s="200"/>
      <c r="D393" s="200"/>
      <c r="E393" s="200"/>
      <c r="F393" s="200"/>
    </row>
    <row r="394" spans="2:6" ht="12.75">
      <c r="B394" s="200"/>
      <c r="C394" s="200"/>
      <c r="D394" s="200"/>
      <c r="E394" s="200"/>
      <c r="F394" s="200"/>
    </row>
    <row r="395" spans="2:6" ht="12.75">
      <c r="B395" s="200"/>
      <c r="C395" s="200"/>
      <c r="D395" s="200"/>
      <c r="E395" s="200"/>
      <c r="F395" s="200"/>
    </row>
    <row r="396" spans="2:6" ht="12.75">
      <c r="B396" s="200"/>
      <c r="C396" s="200"/>
      <c r="D396" s="200"/>
      <c r="E396" s="200"/>
      <c r="F396" s="200"/>
    </row>
    <row r="397" spans="2:6" ht="12.75">
      <c r="B397" s="200"/>
      <c r="C397" s="200"/>
      <c r="D397" s="200"/>
      <c r="E397" s="200"/>
      <c r="F397" s="200"/>
    </row>
    <row r="398" spans="2:6" ht="12.75">
      <c r="B398" s="200"/>
      <c r="C398" s="200"/>
      <c r="D398" s="200"/>
      <c r="E398" s="200"/>
      <c r="F398" s="200"/>
    </row>
    <row r="399" spans="2:6" ht="12.75">
      <c r="B399" s="200"/>
      <c r="C399" s="200"/>
      <c r="D399" s="200"/>
      <c r="E399" s="200"/>
      <c r="F399" s="200"/>
    </row>
    <row r="400" spans="2:6" ht="12.75">
      <c r="B400" s="200"/>
      <c r="C400" s="200"/>
      <c r="D400" s="200"/>
      <c r="E400" s="200"/>
      <c r="F400" s="200"/>
    </row>
    <row r="401" spans="2:6" ht="12.75">
      <c r="B401" s="200"/>
      <c r="C401" s="200"/>
      <c r="D401" s="200"/>
      <c r="E401" s="200"/>
      <c r="F401" s="200"/>
    </row>
    <row r="402" spans="2:6" ht="12.75">
      <c r="B402" s="200"/>
      <c r="C402" s="200"/>
      <c r="D402" s="200"/>
      <c r="E402" s="200"/>
      <c r="F402" s="200"/>
    </row>
    <row r="403" spans="2:6" ht="12.75">
      <c r="B403" s="200"/>
      <c r="C403" s="200"/>
      <c r="D403" s="200"/>
      <c r="E403" s="200"/>
      <c r="F403" s="200"/>
    </row>
    <row r="404" spans="2:6" ht="12.75">
      <c r="B404" s="200"/>
      <c r="C404" s="200"/>
      <c r="D404" s="200"/>
      <c r="E404" s="200"/>
      <c r="F404" s="200"/>
    </row>
    <row r="405" spans="2:6" ht="12.75">
      <c r="B405" s="200"/>
      <c r="C405" s="200"/>
      <c r="D405" s="200"/>
      <c r="E405" s="200"/>
      <c r="F405" s="200"/>
    </row>
    <row r="406" spans="2:6" ht="12.75">
      <c r="B406" s="200"/>
      <c r="C406" s="200"/>
      <c r="D406" s="200"/>
      <c r="E406" s="200"/>
      <c r="F406" s="200"/>
    </row>
    <row r="407" spans="2:6" ht="12.75">
      <c r="B407" s="200"/>
      <c r="C407" s="200"/>
      <c r="D407" s="200"/>
      <c r="E407" s="200"/>
      <c r="F407" s="200"/>
    </row>
    <row r="408" spans="2:6" ht="12.75">
      <c r="B408" s="200"/>
      <c r="C408" s="200"/>
      <c r="D408" s="200"/>
      <c r="E408" s="200"/>
      <c r="F408" s="200"/>
    </row>
    <row r="409" spans="2:6" ht="12.75">
      <c r="B409" s="200"/>
      <c r="C409" s="200"/>
      <c r="D409" s="200"/>
      <c r="E409" s="200"/>
      <c r="F409" s="200"/>
    </row>
    <row r="410" spans="2:6" ht="12.75">
      <c r="B410" s="200"/>
      <c r="C410" s="200"/>
      <c r="D410" s="200"/>
      <c r="E410" s="200"/>
      <c r="F410" s="200"/>
    </row>
    <row r="411" spans="2:6" ht="12.75">
      <c r="B411" s="200"/>
      <c r="C411" s="200"/>
      <c r="D411" s="200"/>
      <c r="E411" s="200"/>
      <c r="F411" s="200"/>
    </row>
    <row r="412" spans="2:6" ht="12.75">
      <c r="B412" s="200"/>
      <c r="C412" s="200"/>
      <c r="D412" s="200"/>
      <c r="E412" s="200"/>
      <c r="F412" s="200"/>
    </row>
    <row r="413" spans="2:6" ht="12.75">
      <c r="B413" s="200"/>
      <c r="C413" s="200"/>
      <c r="D413" s="200"/>
      <c r="E413" s="200"/>
      <c r="F413" s="200"/>
    </row>
    <row r="414" spans="2:6" ht="12.75">
      <c r="B414" s="200"/>
      <c r="C414" s="200"/>
      <c r="D414" s="200"/>
      <c r="E414" s="200"/>
      <c r="F414" s="200"/>
    </row>
    <row r="415" spans="2:6" ht="12.75">
      <c r="B415" s="200"/>
      <c r="C415" s="200"/>
      <c r="D415" s="200"/>
      <c r="E415" s="200"/>
      <c r="F415" s="200"/>
    </row>
    <row r="416" spans="2:6" ht="12.75">
      <c r="B416" s="200"/>
      <c r="C416" s="200"/>
      <c r="D416" s="200"/>
      <c r="E416" s="200"/>
      <c r="F416" s="200"/>
    </row>
    <row r="417" spans="2:6" ht="12.75">
      <c r="B417" s="200"/>
      <c r="C417" s="200"/>
      <c r="D417" s="200"/>
      <c r="E417" s="200"/>
      <c r="F417" s="200"/>
    </row>
    <row r="418" spans="2:6" ht="12.75">
      <c r="B418" s="200"/>
      <c r="C418" s="200"/>
      <c r="D418" s="200"/>
      <c r="E418" s="200"/>
      <c r="F418" s="200"/>
    </row>
    <row r="419" spans="2:6" ht="12.75">
      <c r="B419" s="200"/>
      <c r="C419" s="200"/>
      <c r="D419" s="200"/>
      <c r="E419" s="200"/>
      <c r="F419" s="200"/>
    </row>
    <row r="420" spans="2:6" ht="12.75">
      <c r="B420" s="200"/>
      <c r="C420" s="200"/>
      <c r="D420" s="200"/>
      <c r="E420" s="200"/>
      <c r="F420" s="200"/>
    </row>
    <row r="421" spans="2:6" ht="12.75">
      <c r="B421" s="200"/>
      <c r="C421" s="200"/>
      <c r="D421" s="200"/>
      <c r="E421" s="200"/>
      <c r="F421" s="200"/>
    </row>
    <row r="422" spans="2:6" ht="12.75">
      <c r="B422" s="200"/>
      <c r="C422" s="200"/>
      <c r="D422" s="200"/>
      <c r="E422" s="200"/>
      <c r="F422" s="200"/>
    </row>
    <row r="423" spans="2:6" ht="12.75">
      <c r="B423" s="200"/>
      <c r="C423" s="200"/>
      <c r="D423" s="200"/>
      <c r="E423" s="200"/>
      <c r="F423" s="200"/>
    </row>
    <row r="424" spans="2:6" ht="12.75">
      <c r="B424" s="200"/>
      <c r="C424" s="200"/>
      <c r="D424" s="200"/>
      <c r="E424" s="200"/>
      <c r="F424" s="200"/>
    </row>
    <row r="425" spans="2:6" ht="12.75">
      <c r="B425" s="200"/>
      <c r="C425" s="200"/>
      <c r="D425" s="200"/>
      <c r="E425" s="200"/>
      <c r="F425" s="200"/>
    </row>
    <row r="426" spans="2:6" ht="12.75">
      <c r="B426" s="200"/>
      <c r="C426" s="200"/>
      <c r="D426" s="200"/>
      <c r="E426" s="200"/>
      <c r="F426" s="200"/>
    </row>
    <row r="427" spans="2:6" ht="12.75">
      <c r="B427" s="200"/>
      <c r="C427" s="200"/>
      <c r="D427" s="200"/>
      <c r="E427" s="200"/>
      <c r="F427" s="200"/>
    </row>
    <row r="428" spans="2:6" ht="12.75">
      <c r="B428" s="200"/>
      <c r="C428" s="200"/>
      <c r="D428" s="200"/>
      <c r="E428" s="200"/>
      <c r="F428" s="200"/>
    </row>
    <row r="429" spans="2:6" ht="12.75">
      <c r="B429" s="200"/>
      <c r="C429" s="200"/>
      <c r="D429" s="200"/>
      <c r="E429" s="200"/>
      <c r="F429" s="200"/>
    </row>
    <row r="430" spans="2:6" ht="12.75">
      <c r="B430" s="200"/>
      <c r="C430" s="200"/>
      <c r="D430" s="200"/>
      <c r="E430" s="200"/>
      <c r="F430" s="200"/>
    </row>
    <row r="431" spans="2:6" ht="12.75">
      <c r="B431" s="200"/>
      <c r="C431" s="200"/>
      <c r="D431" s="200"/>
      <c r="E431" s="200"/>
      <c r="F431" s="200"/>
    </row>
    <row r="432" spans="2:6" ht="12.75">
      <c r="B432" s="200"/>
      <c r="C432" s="200"/>
      <c r="D432" s="200"/>
      <c r="E432" s="200"/>
      <c r="F432" s="200"/>
    </row>
    <row r="433" spans="2:6" ht="12.75">
      <c r="B433" s="200"/>
      <c r="C433" s="200"/>
      <c r="D433" s="200"/>
      <c r="E433" s="200"/>
      <c r="F433" s="200"/>
    </row>
    <row r="434" spans="2:6" ht="12.75">
      <c r="B434" s="200"/>
      <c r="C434" s="200"/>
      <c r="D434" s="200"/>
      <c r="E434" s="200"/>
      <c r="F434" s="200"/>
    </row>
    <row r="435" spans="2:6" ht="12.75">
      <c r="B435" s="200"/>
      <c r="C435" s="200"/>
      <c r="D435" s="200"/>
      <c r="E435" s="200"/>
      <c r="F435" s="200"/>
    </row>
    <row r="436" spans="2:6" ht="12.75">
      <c r="B436" s="200"/>
      <c r="C436" s="200"/>
      <c r="D436" s="200"/>
      <c r="E436" s="200"/>
      <c r="F436" s="200"/>
    </row>
    <row r="437" spans="2:6" ht="12.75">
      <c r="B437" s="200"/>
      <c r="C437" s="200"/>
      <c r="D437" s="200"/>
      <c r="E437" s="200"/>
      <c r="F437" s="200"/>
    </row>
    <row r="438" spans="2:6" ht="12.75">
      <c r="B438" s="200"/>
      <c r="C438" s="200"/>
      <c r="D438" s="200"/>
      <c r="E438" s="200"/>
      <c r="F438" s="200"/>
    </row>
    <row r="439" spans="2:6" ht="12.75">
      <c r="B439" s="200"/>
      <c r="C439" s="200"/>
      <c r="D439" s="200"/>
      <c r="E439" s="200"/>
      <c r="F439" s="200"/>
    </row>
    <row r="440" spans="2:6" ht="12.75">
      <c r="B440" s="200"/>
      <c r="C440" s="200"/>
      <c r="D440" s="200"/>
      <c r="E440" s="200"/>
      <c r="F440" s="200"/>
    </row>
    <row r="441" spans="2:6" ht="12.75">
      <c r="B441" s="200"/>
      <c r="C441" s="200"/>
      <c r="D441" s="200"/>
      <c r="E441" s="200"/>
      <c r="F441" s="200"/>
    </row>
    <row r="442" spans="2:6" ht="12.75">
      <c r="B442" s="200"/>
      <c r="C442" s="200"/>
      <c r="D442" s="200"/>
      <c r="E442" s="200"/>
      <c r="F442" s="200"/>
    </row>
    <row r="443" spans="2:6" ht="12.75">
      <c r="B443" s="200"/>
      <c r="C443" s="200"/>
      <c r="D443" s="200"/>
      <c r="E443" s="200"/>
      <c r="F443" s="200"/>
    </row>
    <row r="444" spans="2:6" ht="12.75">
      <c r="B444" s="200"/>
      <c r="C444" s="200"/>
      <c r="D444" s="200"/>
      <c r="E444" s="200"/>
      <c r="F444" s="200"/>
    </row>
    <row r="445" spans="2:6" ht="12.75">
      <c r="B445" s="200"/>
      <c r="C445" s="200"/>
      <c r="D445" s="200"/>
      <c r="E445" s="200"/>
      <c r="F445" s="200"/>
    </row>
    <row r="446" spans="2:6" ht="12.75">
      <c r="B446" s="200"/>
      <c r="C446" s="200"/>
      <c r="D446" s="200"/>
      <c r="E446" s="200"/>
      <c r="F446" s="200"/>
    </row>
    <row r="447" spans="2:6" ht="12.75">
      <c r="B447" s="200"/>
      <c r="C447" s="200"/>
      <c r="D447" s="200"/>
      <c r="E447" s="200"/>
      <c r="F447" s="200"/>
    </row>
    <row r="448" spans="2:6" ht="12.75">
      <c r="B448" s="200"/>
      <c r="C448" s="200"/>
      <c r="D448" s="200"/>
      <c r="E448" s="200"/>
      <c r="F448" s="200"/>
    </row>
    <row r="449" spans="2:6" ht="12.75">
      <c r="B449" s="200"/>
      <c r="C449" s="200"/>
      <c r="D449" s="200"/>
      <c r="E449" s="200"/>
      <c r="F449" s="200"/>
    </row>
    <row r="450" spans="2:6" ht="12.75">
      <c r="B450" s="200"/>
      <c r="C450" s="200"/>
      <c r="D450" s="200"/>
      <c r="E450" s="200"/>
      <c r="F450" s="200"/>
    </row>
    <row r="451" spans="2:6" ht="12.75">
      <c r="B451" s="200"/>
      <c r="C451" s="200"/>
      <c r="D451" s="200"/>
      <c r="E451" s="200"/>
      <c r="F451" s="200"/>
    </row>
    <row r="452" spans="2:6" ht="12.75">
      <c r="B452" s="200"/>
      <c r="C452" s="200"/>
      <c r="D452" s="200"/>
      <c r="E452" s="200"/>
      <c r="F452" s="200"/>
    </row>
    <row r="453" spans="2:6" ht="12.75">
      <c r="B453" s="200"/>
      <c r="C453" s="200"/>
      <c r="D453" s="200"/>
      <c r="E453" s="200"/>
      <c r="F453" s="200"/>
    </row>
    <row r="454" spans="2:6" ht="12.75">
      <c r="B454" s="200"/>
      <c r="C454" s="200"/>
      <c r="D454" s="200"/>
      <c r="E454" s="200"/>
      <c r="F454" s="200"/>
    </row>
    <row r="455" spans="2:6" ht="12.75">
      <c r="B455" s="200"/>
      <c r="C455" s="200"/>
      <c r="D455" s="200"/>
      <c r="E455" s="200"/>
      <c r="F455" s="200"/>
    </row>
    <row r="456" spans="2:6" ht="12.75">
      <c r="B456" s="200"/>
      <c r="C456" s="200"/>
      <c r="D456" s="200"/>
      <c r="E456" s="200"/>
      <c r="F456" s="200"/>
    </row>
    <row r="457" spans="2:6" ht="12.75">
      <c r="B457" s="200"/>
      <c r="C457" s="200"/>
      <c r="D457" s="200"/>
      <c r="E457" s="200"/>
      <c r="F457" s="200"/>
    </row>
    <row r="458" spans="2:6" ht="12.75">
      <c r="B458" s="200"/>
      <c r="C458" s="200"/>
      <c r="D458" s="200"/>
      <c r="E458" s="200"/>
      <c r="F458" s="200"/>
    </row>
    <row r="459" spans="2:6" ht="12.75">
      <c r="B459" s="200"/>
      <c r="C459" s="200"/>
      <c r="D459" s="200"/>
      <c r="E459" s="200"/>
      <c r="F459" s="200"/>
    </row>
    <row r="460" spans="2:6" ht="12.75">
      <c r="B460" s="200"/>
      <c r="C460" s="200"/>
      <c r="D460" s="200"/>
      <c r="E460" s="200"/>
      <c r="F460" s="200"/>
    </row>
    <row r="461" spans="2:6" ht="12.75">
      <c r="B461" s="200"/>
      <c r="C461" s="200"/>
      <c r="D461" s="200"/>
      <c r="E461" s="200"/>
      <c r="F461" s="200"/>
    </row>
    <row r="462" spans="2:6" ht="12.75">
      <c r="B462" s="200"/>
      <c r="C462" s="200"/>
      <c r="D462" s="200"/>
      <c r="E462" s="200"/>
      <c r="F462" s="200"/>
    </row>
    <row r="463" spans="2:6" ht="12.75">
      <c r="B463" s="200"/>
      <c r="C463" s="200"/>
      <c r="D463" s="200"/>
      <c r="E463" s="200"/>
      <c r="F463" s="200"/>
    </row>
    <row r="464" spans="2:6" ht="12.75">
      <c r="B464" s="200"/>
      <c r="C464" s="200"/>
      <c r="D464" s="200"/>
      <c r="E464" s="200"/>
      <c r="F464" s="200"/>
    </row>
    <row r="465" spans="2:6" ht="12.75">
      <c r="B465" s="200"/>
      <c r="C465" s="200"/>
      <c r="D465" s="200"/>
      <c r="E465" s="200"/>
      <c r="F465" s="200"/>
    </row>
    <row r="466" spans="2:6" ht="12.75">
      <c r="B466" s="200"/>
      <c r="C466" s="200"/>
      <c r="D466" s="200"/>
      <c r="E466" s="200"/>
      <c r="F466" s="200"/>
    </row>
    <row r="467" spans="2:6" ht="12.75">
      <c r="B467" s="200"/>
      <c r="C467" s="200"/>
      <c r="D467" s="200"/>
      <c r="E467" s="200"/>
      <c r="F467" s="200"/>
    </row>
    <row r="468" spans="2:6" ht="12.75">
      <c r="B468" s="200"/>
      <c r="C468" s="200"/>
      <c r="D468" s="200"/>
      <c r="E468" s="200"/>
      <c r="F468" s="200"/>
    </row>
    <row r="469" spans="2:6" ht="12.75">
      <c r="B469" s="200"/>
      <c r="C469" s="200"/>
      <c r="D469" s="200"/>
      <c r="E469" s="200"/>
      <c r="F469" s="200"/>
    </row>
    <row r="470" spans="2:6" ht="12.75">
      <c r="B470" s="200"/>
      <c r="C470" s="200"/>
      <c r="D470" s="200"/>
      <c r="E470" s="200"/>
      <c r="F470" s="200"/>
    </row>
    <row r="471" spans="2:6" ht="12.75">
      <c r="B471" s="200"/>
      <c r="C471" s="200"/>
      <c r="D471" s="200"/>
      <c r="E471" s="200"/>
      <c r="F471" s="200"/>
    </row>
    <row r="472" spans="2:6" ht="12.75">
      <c r="B472" s="200"/>
      <c r="C472" s="200"/>
      <c r="D472" s="200"/>
      <c r="E472" s="200"/>
      <c r="F472" s="200"/>
    </row>
    <row r="473" spans="2:6" ht="12.75">
      <c r="B473" s="200"/>
      <c r="C473" s="200"/>
      <c r="D473" s="200"/>
      <c r="E473" s="200"/>
      <c r="F473" s="200"/>
    </row>
    <row r="474" spans="2:6" ht="12.75">
      <c r="B474" s="200"/>
      <c r="C474" s="200"/>
      <c r="D474" s="200"/>
      <c r="E474" s="200"/>
      <c r="F474" s="200"/>
    </row>
    <row r="475" spans="2:6" ht="12.75">
      <c r="B475" s="200"/>
      <c r="C475" s="200"/>
      <c r="D475" s="200"/>
      <c r="E475" s="200"/>
      <c r="F475" s="200"/>
    </row>
    <row r="476" spans="2:6" ht="12.75">
      <c r="B476" s="200"/>
      <c r="C476" s="200"/>
      <c r="D476" s="200"/>
      <c r="E476" s="200"/>
      <c r="F476" s="200"/>
    </row>
    <row r="477" spans="2:6" ht="12.75">
      <c r="B477" s="200"/>
      <c r="C477" s="200"/>
      <c r="D477" s="200"/>
      <c r="E477" s="200"/>
      <c r="F477" s="200"/>
    </row>
    <row r="478" spans="2:6" ht="12.75">
      <c r="B478" s="200"/>
      <c r="C478" s="200"/>
      <c r="D478" s="200"/>
      <c r="E478" s="200"/>
      <c r="F478" s="200"/>
    </row>
    <row r="479" spans="2:6" ht="12.75">
      <c r="B479" s="200"/>
      <c r="C479" s="200"/>
      <c r="D479" s="200"/>
      <c r="E479" s="200"/>
      <c r="F479" s="200"/>
    </row>
    <row r="480" spans="2:6" ht="12.75">
      <c r="B480" s="200"/>
      <c r="C480" s="200"/>
      <c r="D480" s="200"/>
      <c r="E480" s="200"/>
      <c r="F480" s="200"/>
    </row>
    <row r="481" spans="2:6" ht="12.75">
      <c r="B481" s="200"/>
      <c r="C481" s="200"/>
      <c r="D481" s="200"/>
      <c r="E481" s="200"/>
      <c r="F481" s="200"/>
    </row>
    <row r="482" spans="2:6" ht="12.75">
      <c r="B482" s="200"/>
      <c r="C482" s="200"/>
      <c r="D482" s="200"/>
      <c r="E482" s="200"/>
      <c r="F482" s="200"/>
    </row>
    <row r="483" spans="2:6" ht="12.75">
      <c r="B483" s="200"/>
      <c r="C483" s="200"/>
      <c r="D483" s="200"/>
      <c r="E483" s="200"/>
      <c r="F483" s="200"/>
    </row>
    <row r="484" spans="2:6" ht="12.75">
      <c r="B484" s="200"/>
      <c r="C484" s="200"/>
      <c r="D484" s="200"/>
      <c r="E484" s="200"/>
      <c r="F484" s="200"/>
    </row>
    <row r="485" spans="2:6" ht="12.75">
      <c r="B485" s="200"/>
      <c r="C485" s="200"/>
      <c r="D485" s="200"/>
      <c r="E485" s="200"/>
      <c r="F485" s="200"/>
    </row>
    <row r="486" spans="2:6" ht="12.75">
      <c r="B486" s="200"/>
      <c r="C486" s="200"/>
      <c r="D486" s="200"/>
      <c r="E486" s="200"/>
      <c r="F486" s="200"/>
    </row>
    <row r="487" spans="2:6" ht="12.75">
      <c r="B487" s="200"/>
      <c r="C487" s="200"/>
      <c r="D487" s="200"/>
      <c r="E487" s="200"/>
      <c r="F487" s="200"/>
    </row>
    <row r="488" spans="2:6" ht="12.75">
      <c r="B488" s="200"/>
      <c r="C488" s="200"/>
      <c r="D488" s="200"/>
      <c r="E488" s="200"/>
      <c r="F488" s="200"/>
    </row>
    <row r="489" spans="2:6" ht="12.75">
      <c r="B489" s="200"/>
      <c r="C489" s="200"/>
      <c r="D489" s="200"/>
      <c r="E489" s="200"/>
      <c r="F489" s="200"/>
    </row>
    <row r="490" spans="2:6" ht="12.75">
      <c r="B490" s="200"/>
      <c r="C490" s="200"/>
      <c r="D490" s="200"/>
      <c r="E490" s="200"/>
      <c r="F490" s="200"/>
    </row>
    <row r="491" spans="2:6" ht="12.75">
      <c r="B491" s="200"/>
      <c r="C491" s="200"/>
      <c r="D491" s="200"/>
      <c r="E491" s="200"/>
      <c r="F491" s="200"/>
    </row>
    <row r="492" spans="2:6" ht="12.75">
      <c r="B492" s="200"/>
      <c r="C492" s="200"/>
      <c r="D492" s="200"/>
      <c r="E492" s="200"/>
      <c r="F492" s="200"/>
    </row>
    <row r="493" spans="2:6" ht="12.75">
      <c r="B493" s="200"/>
      <c r="C493" s="200"/>
      <c r="D493" s="200"/>
      <c r="E493" s="200"/>
      <c r="F493" s="200"/>
    </row>
    <row r="494" spans="2:6" ht="12.75">
      <c r="B494" s="200"/>
      <c r="C494" s="200"/>
      <c r="D494" s="200"/>
      <c r="E494" s="200"/>
      <c r="F494" s="200"/>
    </row>
    <row r="495" spans="2:6" ht="12.75">
      <c r="B495" s="200"/>
      <c r="C495" s="200"/>
      <c r="D495" s="200"/>
      <c r="E495" s="200"/>
      <c r="F495" s="200"/>
    </row>
    <row r="496" spans="2:6" ht="12.75">
      <c r="B496" s="200"/>
      <c r="C496" s="200"/>
      <c r="D496" s="200"/>
      <c r="E496" s="200"/>
      <c r="F496" s="200"/>
    </row>
    <row r="497" spans="2:6" ht="12.75">
      <c r="B497" s="200"/>
      <c r="C497" s="200"/>
      <c r="D497" s="200"/>
      <c r="E497" s="200"/>
      <c r="F497" s="200"/>
    </row>
    <row r="498" spans="2:6" ht="12.75">
      <c r="B498" s="200"/>
      <c r="C498" s="200"/>
      <c r="D498" s="200"/>
      <c r="E498" s="200"/>
      <c r="F498" s="200"/>
    </row>
    <row r="499" spans="2:6" ht="12.75">
      <c r="B499" s="200"/>
      <c r="C499" s="200"/>
      <c r="D499" s="200"/>
      <c r="E499" s="200"/>
      <c r="F499" s="200"/>
    </row>
    <row r="500" spans="2:6" ht="12.75">
      <c r="B500" s="200"/>
      <c r="C500" s="200"/>
      <c r="D500" s="200"/>
      <c r="E500" s="200"/>
      <c r="F500" s="200"/>
    </row>
    <row r="501" spans="2:6" ht="12.75">
      <c r="B501" s="200"/>
      <c r="C501" s="200"/>
      <c r="D501" s="200"/>
      <c r="E501" s="200"/>
      <c r="F501" s="200"/>
    </row>
    <row r="502" spans="2:6" ht="12.75">
      <c r="B502" s="200"/>
      <c r="C502" s="200"/>
      <c r="D502" s="200"/>
      <c r="E502" s="200"/>
      <c r="F502" s="200"/>
    </row>
    <row r="503" spans="2:6" ht="12.75">
      <c r="B503" s="200"/>
      <c r="C503" s="200"/>
      <c r="D503" s="200"/>
      <c r="E503" s="200"/>
      <c r="F503" s="200"/>
    </row>
    <row r="504" spans="2:6" ht="12.75">
      <c r="B504" s="200"/>
      <c r="C504" s="200"/>
      <c r="D504" s="200"/>
      <c r="E504" s="200"/>
      <c r="F504" s="200"/>
    </row>
    <row r="505" spans="2:6" ht="12.75">
      <c r="B505" s="200"/>
      <c r="C505" s="200"/>
      <c r="D505" s="200"/>
      <c r="E505" s="200"/>
      <c r="F505" s="200"/>
    </row>
    <row r="506" spans="2:6" ht="12.75">
      <c r="B506" s="200"/>
      <c r="C506" s="200"/>
      <c r="D506" s="200"/>
      <c r="E506" s="200"/>
      <c r="F506" s="200"/>
    </row>
    <row r="507" spans="2:6" ht="12.75">
      <c r="B507" s="200"/>
      <c r="C507" s="200"/>
      <c r="D507" s="200"/>
      <c r="E507" s="200"/>
      <c r="F507" s="200"/>
    </row>
    <row r="508" spans="2:6" ht="12.75">
      <c r="B508" s="200"/>
      <c r="C508" s="200"/>
      <c r="D508" s="200"/>
      <c r="E508" s="200"/>
      <c r="F508" s="200"/>
    </row>
    <row r="509" spans="2:6" ht="12.75">
      <c r="B509" s="200"/>
      <c r="C509" s="200"/>
      <c r="D509" s="200"/>
      <c r="E509" s="200"/>
      <c r="F509" s="200"/>
    </row>
    <row r="510" spans="2:6" ht="12.75">
      <c r="B510" s="200"/>
      <c r="C510" s="200"/>
      <c r="D510" s="200"/>
      <c r="E510" s="200"/>
      <c r="F510" s="200"/>
    </row>
    <row r="511" spans="2:6" ht="12.75">
      <c r="B511" s="200"/>
      <c r="C511" s="200"/>
      <c r="D511" s="200"/>
      <c r="E511" s="200"/>
      <c r="F511" s="200"/>
    </row>
    <row r="512" spans="2:6" ht="12.75">
      <c r="B512" s="200"/>
      <c r="C512" s="200"/>
      <c r="D512" s="200"/>
      <c r="E512" s="200"/>
      <c r="F512" s="200"/>
    </row>
    <row r="513" spans="2:6" ht="12.75">
      <c r="B513" s="200"/>
      <c r="C513" s="200"/>
      <c r="D513" s="200"/>
      <c r="E513" s="200"/>
      <c r="F513" s="200"/>
    </row>
    <row r="514" spans="2:6" ht="12.75">
      <c r="B514" s="200"/>
      <c r="C514" s="200"/>
      <c r="D514" s="200"/>
      <c r="E514" s="200"/>
      <c r="F514" s="200"/>
    </row>
    <row r="515" spans="2:6" ht="12.75">
      <c r="B515" s="200"/>
      <c r="C515" s="200"/>
      <c r="D515" s="200"/>
      <c r="E515" s="200"/>
      <c r="F515" s="200"/>
    </row>
    <row r="516" spans="2:6" ht="12.75">
      <c r="B516" s="200"/>
      <c r="C516" s="200"/>
      <c r="D516" s="200"/>
      <c r="E516" s="200"/>
      <c r="F516" s="200"/>
    </row>
    <row r="517" spans="2:6" ht="12.75">
      <c r="B517" s="200"/>
      <c r="C517" s="200"/>
      <c r="D517" s="200"/>
      <c r="E517" s="200"/>
      <c r="F517" s="200"/>
    </row>
    <row r="518" spans="2:6" ht="12.75">
      <c r="B518" s="200"/>
      <c r="C518" s="200"/>
      <c r="D518" s="200"/>
      <c r="E518" s="200"/>
      <c r="F518" s="200"/>
    </row>
    <row r="519" spans="2:6" ht="12.75">
      <c r="B519" s="200"/>
      <c r="C519" s="200"/>
      <c r="D519" s="200"/>
      <c r="E519" s="200"/>
      <c r="F519" s="200"/>
    </row>
    <row r="520" spans="2:6" ht="12.75">
      <c r="B520" s="200"/>
      <c r="C520" s="200"/>
      <c r="D520" s="200"/>
      <c r="E520" s="200"/>
      <c r="F520" s="200"/>
    </row>
    <row r="521" spans="2:6" ht="12.75">
      <c r="B521" s="200"/>
      <c r="C521" s="200"/>
      <c r="D521" s="200"/>
      <c r="E521" s="200"/>
      <c r="F521" s="200"/>
    </row>
    <row r="522" spans="2:6" ht="12.75">
      <c r="B522" s="200"/>
      <c r="C522" s="200"/>
      <c r="D522" s="200"/>
      <c r="E522" s="200"/>
      <c r="F522" s="200"/>
    </row>
    <row r="523" spans="2:6" ht="12.75">
      <c r="B523" s="200"/>
      <c r="C523" s="200"/>
      <c r="D523" s="200"/>
      <c r="E523" s="200"/>
      <c r="F523" s="200"/>
    </row>
    <row r="524" spans="2:6" ht="12.75">
      <c r="B524" s="200"/>
      <c r="C524" s="200"/>
      <c r="D524" s="200"/>
      <c r="E524" s="200"/>
      <c r="F524" s="200"/>
    </row>
    <row r="525" spans="2:6" ht="12.75">
      <c r="B525" s="200"/>
      <c r="C525" s="200"/>
      <c r="D525" s="200"/>
      <c r="E525" s="200"/>
      <c r="F525" s="200"/>
    </row>
    <row r="526" spans="2:6" ht="12.75">
      <c r="B526" s="200"/>
      <c r="C526" s="200"/>
      <c r="D526" s="200"/>
      <c r="E526" s="200"/>
      <c r="F526" s="200"/>
    </row>
    <row r="527" spans="2:6" ht="12.75">
      <c r="B527" s="200"/>
      <c r="C527" s="200"/>
      <c r="D527" s="200"/>
      <c r="E527" s="200"/>
      <c r="F527" s="200"/>
    </row>
    <row r="528" spans="2:6" ht="12.75">
      <c r="B528" s="200"/>
      <c r="C528" s="200"/>
      <c r="D528" s="200"/>
      <c r="E528" s="200"/>
      <c r="F528" s="200"/>
    </row>
    <row r="529" spans="2:6" ht="12.75">
      <c r="B529" s="200"/>
      <c r="C529" s="200"/>
      <c r="D529" s="200"/>
      <c r="E529" s="200"/>
      <c r="F529" s="200"/>
    </row>
    <row r="530" spans="2:6" ht="12.75">
      <c r="B530" s="200"/>
      <c r="C530" s="200"/>
      <c r="D530" s="200"/>
      <c r="E530" s="200"/>
      <c r="F530" s="200"/>
    </row>
    <row r="531" spans="2:6" ht="12.75">
      <c r="B531" s="200"/>
      <c r="C531" s="200"/>
      <c r="D531" s="200"/>
      <c r="E531" s="200"/>
      <c r="F531" s="200"/>
    </row>
    <row r="532" spans="2:6" ht="12.75">
      <c r="B532" s="200"/>
      <c r="C532" s="200"/>
      <c r="D532" s="200"/>
      <c r="E532" s="200"/>
      <c r="F532" s="200"/>
    </row>
    <row r="533" spans="2:6" ht="12.75">
      <c r="B533" s="200"/>
      <c r="C533" s="200"/>
      <c r="D533" s="200"/>
      <c r="E533" s="200"/>
      <c r="F533" s="200"/>
    </row>
    <row r="534" spans="2:6" ht="12.75">
      <c r="B534" s="200"/>
      <c r="C534" s="200"/>
      <c r="D534" s="200"/>
      <c r="E534" s="200"/>
      <c r="F534" s="200"/>
    </row>
    <row r="535" spans="2:6" ht="12.75">
      <c r="B535" s="200"/>
      <c r="C535" s="200"/>
      <c r="D535" s="200"/>
      <c r="E535" s="200"/>
      <c r="F535" s="200"/>
    </row>
    <row r="536" spans="2:6" ht="12.75">
      <c r="B536" s="200"/>
      <c r="C536" s="200"/>
      <c r="D536" s="200"/>
      <c r="E536" s="200"/>
      <c r="F536" s="200"/>
    </row>
    <row r="537" spans="2:6" ht="12.75">
      <c r="B537" s="200"/>
      <c r="C537" s="200"/>
      <c r="D537" s="200"/>
      <c r="E537" s="200"/>
      <c r="F537" s="200"/>
    </row>
    <row r="538" spans="2:6" ht="12.75">
      <c r="B538" s="200"/>
      <c r="C538" s="200"/>
      <c r="D538" s="200"/>
      <c r="E538" s="200"/>
      <c r="F538" s="200"/>
    </row>
    <row r="539" spans="2:6" ht="12.75">
      <c r="B539" s="200"/>
      <c r="C539" s="200"/>
      <c r="D539" s="200"/>
      <c r="E539" s="200"/>
      <c r="F539" s="200"/>
    </row>
    <row r="540" spans="2:6" ht="12.75">
      <c r="B540" s="200"/>
      <c r="C540" s="200"/>
      <c r="D540" s="200"/>
      <c r="E540" s="200"/>
      <c r="F540" s="200"/>
    </row>
    <row r="541" spans="2:6" ht="12.75">
      <c r="B541" s="200"/>
      <c r="C541" s="200"/>
      <c r="D541" s="200"/>
      <c r="E541" s="200"/>
      <c r="F541" s="200"/>
    </row>
    <row r="542" spans="2:6" ht="12.75">
      <c r="B542" s="200"/>
      <c r="C542" s="200"/>
      <c r="D542" s="200"/>
      <c r="E542" s="200"/>
      <c r="F542" s="200"/>
    </row>
    <row r="543" spans="2:6" ht="12.75">
      <c r="B543" s="200"/>
      <c r="C543" s="200"/>
      <c r="D543" s="200"/>
      <c r="E543" s="200"/>
      <c r="F543" s="200"/>
    </row>
    <row r="544" spans="2:6" ht="12.75">
      <c r="B544" s="200"/>
      <c r="C544" s="200"/>
      <c r="D544" s="200"/>
      <c r="E544" s="200"/>
      <c r="F544" s="200"/>
    </row>
    <row r="545" spans="2:6" ht="12.75">
      <c r="B545" s="200"/>
      <c r="C545" s="200"/>
      <c r="D545" s="200"/>
      <c r="E545" s="200"/>
      <c r="F545" s="200"/>
    </row>
    <row r="546" spans="2:6" ht="12.75">
      <c r="B546" s="200"/>
      <c r="C546" s="200"/>
      <c r="D546" s="200"/>
      <c r="E546" s="200"/>
      <c r="F546" s="200"/>
    </row>
    <row r="547" spans="2:6" ht="12.75">
      <c r="B547" s="200"/>
      <c r="C547" s="200"/>
      <c r="D547" s="200"/>
      <c r="E547" s="200"/>
      <c r="F547" s="200"/>
    </row>
    <row r="548" spans="2:6" ht="12.75">
      <c r="B548" s="200"/>
      <c r="C548" s="200"/>
      <c r="D548" s="200"/>
      <c r="E548" s="200"/>
      <c r="F548" s="200"/>
    </row>
    <row r="549" spans="2:6" ht="12.75">
      <c r="B549" s="200"/>
      <c r="C549" s="200"/>
      <c r="D549" s="200"/>
      <c r="E549" s="200"/>
      <c r="F549" s="200"/>
    </row>
    <row r="550" spans="2:6" ht="12.75">
      <c r="B550" s="200"/>
      <c r="C550" s="200"/>
      <c r="D550" s="200"/>
      <c r="E550" s="200"/>
      <c r="F550" s="200"/>
    </row>
    <row r="551" spans="2:6" ht="12.75">
      <c r="B551" s="200"/>
      <c r="C551" s="200"/>
      <c r="D551" s="200"/>
      <c r="E551" s="200"/>
      <c r="F551" s="200"/>
    </row>
    <row r="552" spans="2:6" ht="12.75">
      <c r="B552" s="200"/>
      <c r="C552" s="200"/>
      <c r="D552" s="200"/>
      <c r="E552" s="200"/>
      <c r="F552" s="200"/>
    </row>
    <row r="553" spans="2:6" ht="12.75">
      <c r="B553" s="200"/>
      <c r="C553" s="200"/>
      <c r="D553" s="200"/>
      <c r="E553" s="200"/>
      <c r="F553" s="200"/>
    </row>
    <row r="554" spans="2:6" ht="12.75">
      <c r="B554" s="200"/>
      <c r="C554" s="200"/>
      <c r="D554" s="200"/>
      <c r="E554" s="200"/>
      <c r="F554" s="200"/>
    </row>
    <row r="555" spans="2:6" ht="12.75">
      <c r="B555" s="200"/>
      <c r="C555" s="200"/>
      <c r="D555" s="200"/>
      <c r="E555" s="200"/>
      <c r="F555" s="200"/>
    </row>
    <row r="556" spans="2:6" ht="12.75">
      <c r="B556" s="200"/>
      <c r="C556" s="200"/>
      <c r="D556" s="200"/>
      <c r="E556" s="200"/>
      <c r="F556" s="200"/>
    </row>
    <row r="557" spans="2:6" ht="12.75">
      <c r="B557" s="200"/>
      <c r="C557" s="200"/>
      <c r="D557" s="200"/>
      <c r="E557" s="200"/>
      <c r="F557" s="200"/>
    </row>
    <row r="558" spans="2:6" ht="12.75">
      <c r="B558" s="200"/>
      <c r="C558" s="200"/>
      <c r="D558" s="200"/>
      <c r="E558" s="200"/>
      <c r="F558" s="200"/>
    </row>
    <row r="559" spans="2:6" ht="12.75">
      <c r="B559" s="200"/>
      <c r="C559" s="200"/>
      <c r="D559" s="200"/>
      <c r="E559" s="200"/>
      <c r="F559" s="200"/>
    </row>
    <row r="560" spans="2:6" ht="12.75">
      <c r="B560" s="200"/>
      <c r="C560" s="200"/>
      <c r="D560" s="200"/>
      <c r="E560" s="200"/>
      <c r="F560" s="200"/>
    </row>
    <row r="561" spans="2:6" ht="12.75">
      <c r="B561" s="200"/>
      <c r="C561" s="200"/>
      <c r="D561" s="200"/>
      <c r="E561" s="200"/>
      <c r="F561" s="200"/>
    </row>
    <row r="562" spans="2:6" ht="12.75">
      <c r="B562" s="200"/>
      <c r="C562" s="200"/>
      <c r="D562" s="200"/>
      <c r="E562" s="200"/>
      <c r="F562" s="200"/>
    </row>
    <row r="563" spans="2:6" ht="12.75">
      <c r="B563" s="200"/>
      <c r="C563" s="200"/>
      <c r="D563" s="200"/>
      <c r="E563" s="200"/>
      <c r="F563" s="200"/>
    </row>
    <row r="564" spans="2:6" ht="12.75">
      <c r="B564" s="200"/>
      <c r="C564" s="200"/>
      <c r="D564" s="200"/>
      <c r="E564" s="200"/>
      <c r="F564" s="200"/>
    </row>
    <row r="565" spans="2:6" ht="12.75">
      <c r="B565" s="200"/>
      <c r="C565" s="200"/>
      <c r="D565" s="200"/>
      <c r="E565" s="200"/>
      <c r="F565" s="200"/>
    </row>
    <row r="566" spans="2:6" ht="12.75">
      <c r="B566" s="200"/>
      <c r="C566" s="200"/>
      <c r="D566" s="200"/>
      <c r="E566" s="200"/>
      <c r="F566" s="200"/>
    </row>
    <row r="567" spans="2:6" ht="12.75">
      <c r="B567" s="200"/>
      <c r="C567" s="200"/>
      <c r="D567" s="200"/>
      <c r="E567" s="200"/>
      <c r="F567" s="200"/>
    </row>
    <row r="568" spans="2:6" ht="12.75">
      <c r="B568" s="200"/>
      <c r="C568" s="200"/>
      <c r="D568" s="200"/>
      <c r="E568" s="200"/>
      <c r="F568" s="200"/>
    </row>
    <row r="569" spans="2:6" ht="12.75">
      <c r="B569" s="200"/>
      <c r="C569" s="200"/>
      <c r="D569" s="200"/>
      <c r="E569" s="200"/>
      <c r="F569" s="200"/>
    </row>
    <row r="570" spans="2:6" ht="12.75">
      <c r="B570" s="200"/>
      <c r="C570" s="200"/>
      <c r="D570" s="200"/>
      <c r="E570" s="200"/>
      <c r="F570" s="200"/>
    </row>
    <row r="571" spans="2:6" ht="12.75">
      <c r="B571" s="200"/>
      <c r="C571" s="200"/>
      <c r="D571" s="200"/>
      <c r="E571" s="200"/>
      <c r="F571" s="200"/>
    </row>
    <row r="572" spans="2:6" ht="12.75">
      <c r="B572" s="200"/>
      <c r="C572" s="200"/>
      <c r="D572" s="200"/>
      <c r="E572" s="200"/>
      <c r="F572" s="200"/>
    </row>
    <row r="573" spans="2:6" ht="12.75">
      <c r="B573" s="200"/>
      <c r="C573" s="200"/>
      <c r="D573" s="200"/>
      <c r="E573" s="200"/>
      <c r="F573" s="200"/>
    </row>
    <row r="574" spans="2:6" ht="12.75">
      <c r="B574" s="200"/>
      <c r="C574" s="200"/>
      <c r="D574" s="200"/>
      <c r="E574" s="200"/>
      <c r="F574" s="200"/>
    </row>
    <row r="575" spans="2:6" ht="12.75">
      <c r="B575" s="200"/>
      <c r="C575" s="200"/>
      <c r="D575" s="200"/>
      <c r="E575" s="200"/>
      <c r="F575" s="200"/>
    </row>
    <row r="576" spans="2:6" ht="12.75">
      <c r="B576" s="200"/>
      <c r="C576" s="200"/>
      <c r="D576" s="200"/>
      <c r="E576" s="200"/>
      <c r="F576" s="200"/>
    </row>
    <row r="577" spans="2:6" ht="12.75">
      <c r="B577" s="200"/>
      <c r="C577" s="200"/>
      <c r="D577" s="200"/>
      <c r="E577" s="200"/>
      <c r="F577" s="200"/>
    </row>
    <row r="578" spans="2:6" ht="12.75">
      <c r="B578" s="200"/>
      <c r="C578" s="200"/>
      <c r="D578" s="200"/>
      <c r="E578" s="200"/>
      <c r="F578" s="200"/>
    </row>
    <row r="579" spans="2:6" ht="12.75">
      <c r="B579" s="200"/>
      <c r="C579" s="200"/>
      <c r="D579" s="200"/>
      <c r="E579" s="200"/>
      <c r="F579" s="200"/>
    </row>
    <row r="580" spans="2:6" ht="12.75">
      <c r="B580" s="200"/>
      <c r="C580" s="200"/>
      <c r="D580" s="200"/>
      <c r="E580" s="200"/>
      <c r="F580" s="200"/>
    </row>
    <row r="581" spans="2:6" ht="12.75">
      <c r="B581" s="200"/>
      <c r="C581" s="200"/>
      <c r="D581" s="200"/>
      <c r="E581" s="200"/>
      <c r="F581" s="200"/>
    </row>
    <row r="582" spans="2:6" ht="12.75">
      <c r="B582" s="200"/>
      <c r="C582" s="200"/>
      <c r="D582" s="200"/>
      <c r="E582" s="200"/>
      <c r="F582" s="200"/>
    </row>
    <row r="583" spans="2:6" ht="12.75">
      <c r="B583" s="200"/>
      <c r="C583" s="200"/>
      <c r="D583" s="200"/>
      <c r="E583" s="200"/>
      <c r="F583" s="200"/>
    </row>
    <row r="584" spans="2:6" ht="12.75">
      <c r="B584" s="200"/>
      <c r="C584" s="200"/>
      <c r="D584" s="200"/>
      <c r="E584" s="200"/>
      <c r="F584" s="200"/>
    </row>
    <row r="585" spans="2:6" ht="12.75">
      <c r="B585" s="200"/>
      <c r="C585" s="200"/>
      <c r="D585" s="200"/>
      <c r="E585" s="200"/>
      <c r="F585" s="200"/>
    </row>
    <row r="586" spans="2:6" ht="12.75">
      <c r="B586" s="200"/>
      <c r="C586" s="200"/>
      <c r="D586" s="200"/>
      <c r="E586" s="200"/>
      <c r="F586" s="200"/>
    </row>
    <row r="587" spans="2:6" ht="12.75">
      <c r="B587" s="200"/>
      <c r="C587" s="200"/>
      <c r="D587" s="200"/>
      <c r="E587" s="200"/>
      <c r="F587" s="200"/>
    </row>
    <row r="588" spans="2:6" ht="12.75">
      <c r="B588" s="200"/>
      <c r="C588" s="200"/>
      <c r="D588" s="200"/>
      <c r="E588" s="200"/>
      <c r="F588" s="200"/>
    </row>
    <row r="589" spans="2:6" ht="12.75">
      <c r="B589" s="200"/>
      <c r="C589" s="200"/>
      <c r="D589" s="200"/>
      <c r="E589" s="200"/>
      <c r="F589" s="200"/>
    </row>
    <row r="590" spans="2:6" ht="12.75">
      <c r="B590" s="200"/>
      <c r="C590" s="200"/>
      <c r="D590" s="200"/>
      <c r="E590" s="200"/>
      <c r="F590" s="200"/>
    </row>
    <row r="591" spans="2:6" ht="12.75">
      <c r="B591" s="200"/>
      <c r="C591" s="200"/>
      <c r="D591" s="200"/>
      <c r="E591" s="200"/>
      <c r="F591" s="200"/>
    </row>
    <row r="592" spans="2:6" ht="12.75">
      <c r="B592" s="200"/>
      <c r="C592" s="200"/>
      <c r="D592" s="200"/>
      <c r="E592" s="200"/>
      <c r="F592" s="200"/>
    </row>
    <row r="593" spans="2:6" ht="12.75">
      <c r="B593" s="200"/>
      <c r="C593" s="200"/>
      <c r="D593" s="200"/>
      <c r="E593" s="200"/>
      <c r="F593" s="200"/>
    </row>
    <row r="594" spans="2:6" ht="12.75">
      <c r="B594" s="200"/>
      <c r="C594" s="200"/>
      <c r="D594" s="200"/>
      <c r="E594" s="200"/>
      <c r="F594" s="200"/>
    </row>
  </sheetData>
  <sheetProtection/>
  <printOptions horizontalCentered="1"/>
  <pageMargins left="0.2" right="0.23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4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1.7109375" style="206" customWidth="1"/>
    <col min="2" max="2" width="23.7109375" style="206" customWidth="1"/>
    <col min="3" max="7" width="13.7109375" style="206" customWidth="1"/>
    <col min="8" max="8" width="13.7109375" style="231" customWidth="1"/>
    <col min="9" max="14" width="13.7109375" style="206" customWidth="1"/>
    <col min="15" max="15" width="2.140625" style="206" customWidth="1"/>
    <col min="16" max="16" width="15.7109375" style="206" customWidth="1"/>
    <col min="17" max="16384" width="9.140625" style="206" customWidth="1"/>
  </cols>
  <sheetData>
    <row r="2" spans="1:16" ht="15">
      <c r="A2" s="201"/>
      <c r="B2" s="202" t="s">
        <v>250</v>
      </c>
      <c r="C2" s="203"/>
      <c r="D2" s="203"/>
      <c r="E2" s="203"/>
      <c r="F2" s="203"/>
      <c r="G2" s="203"/>
      <c r="H2" s="204"/>
      <c r="I2" s="205"/>
      <c r="J2" s="205"/>
      <c r="K2" s="205"/>
      <c r="L2" s="205"/>
      <c r="M2" s="205"/>
      <c r="N2" s="205"/>
      <c r="O2" s="205"/>
      <c r="P2" s="205"/>
    </row>
    <row r="3" spans="1:16" ht="15">
      <c r="A3" s="201"/>
      <c r="B3" s="202" t="s">
        <v>251</v>
      </c>
      <c r="C3" s="203"/>
      <c r="D3" s="203"/>
      <c r="E3" s="203"/>
      <c r="F3" s="203"/>
      <c r="G3" s="203"/>
      <c r="H3" s="204"/>
      <c r="I3" s="205"/>
      <c r="J3" s="205"/>
      <c r="K3" s="205"/>
      <c r="L3" s="205"/>
      <c r="M3" s="205"/>
      <c r="N3" s="205"/>
      <c r="O3" s="205"/>
      <c r="P3" s="205"/>
    </row>
    <row r="4" spans="1:16" ht="15.75">
      <c r="A4" s="201"/>
      <c r="B4" s="202"/>
      <c r="C4" s="203"/>
      <c r="D4" s="203"/>
      <c r="E4" s="203"/>
      <c r="F4" s="203"/>
      <c r="G4" s="203"/>
      <c r="H4" s="204"/>
      <c r="I4" s="205"/>
      <c r="J4" s="205"/>
      <c r="K4" s="205"/>
      <c r="L4" s="205"/>
      <c r="M4" s="205"/>
      <c r="N4" s="205"/>
      <c r="O4" s="205"/>
      <c r="P4" s="205"/>
    </row>
    <row r="5" spans="1:16" ht="12.75">
      <c r="A5" s="201"/>
      <c r="B5" s="207"/>
      <c r="C5" s="208"/>
      <c r="D5" s="208"/>
      <c r="E5" s="208"/>
      <c r="F5" s="208"/>
      <c r="G5" s="208"/>
      <c r="H5" s="209"/>
      <c r="I5" s="208"/>
      <c r="J5" s="208"/>
      <c r="K5" s="208"/>
      <c r="L5" s="208"/>
      <c r="M5" s="208"/>
      <c r="N5" s="208"/>
      <c r="O5" s="208"/>
      <c r="P5" s="208"/>
    </row>
    <row r="6" spans="1:16" ht="12.75">
      <c r="A6" s="201"/>
      <c r="B6" s="207"/>
      <c r="C6" s="208"/>
      <c r="D6" s="208"/>
      <c r="E6" s="208"/>
      <c r="F6" s="208"/>
      <c r="G6" s="208"/>
      <c r="H6" s="209"/>
      <c r="I6" s="208"/>
      <c r="J6" s="208"/>
      <c r="K6" s="208"/>
      <c r="L6" s="208"/>
      <c r="M6" s="208"/>
      <c r="N6" s="208"/>
      <c r="O6" s="208"/>
      <c r="P6" s="208"/>
    </row>
    <row r="7" spans="1:16" ht="12.75">
      <c r="A7" s="201"/>
      <c r="B7" s="207" t="s">
        <v>252</v>
      </c>
      <c r="C7" s="208"/>
      <c r="D7" s="208"/>
      <c r="E7" s="208"/>
      <c r="F7" s="208"/>
      <c r="G7" s="208"/>
      <c r="H7" s="209"/>
      <c r="I7" s="208"/>
      <c r="J7" s="208"/>
      <c r="K7" s="208"/>
      <c r="L7" s="208"/>
      <c r="M7" s="208"/>
      <c r="N7" s="208"/>
      <c r="O7" s="208"/>
      <c r="P7" s="208"/>
    </row>
    <row r="8" spans="1:16" ht="12.75">
      <c r="A8" s="201"/>
      <c r="B8" s="207" t="s">
        <v>253</v>
      </c>
      <c r="C8" s="208"/>
      <c r="D8" s="208"/>
      <c r="E8" s="208"/>
      <c r="F8" s="208"/>
      <c r="G8" s="208"/>
      <c r="H8" s="209"/>
      <c r="I8" s="208"/>
      <c r="J8" s="208"/>
      <c r="K8" s="208"/>
      <c r="L8" s="208"/>
      <c r="M8" s="208"/>
      <c r="N8" s="208"/>
      <c r="O8" s="208"/>
      <c r="P8" s="208"/>
    </row>
    <row r="9" spans="1:16" ht="12.75">
      <c r="A9" s="201"/>
      <c r="B9" s="207" t="s">
        <v>254</v>
      </c>
      <c r="C9" s="208"/>
      <c r="D9" s="208"/>
      <c r="E9" s="208"/>
      <c r="F9" s="208"/>
      <c r="G9" s="208"/>
      <c r="H9" s="209"/>
      <c r="I9" s="208"/>
      <c r="J9" s="208"/>
      <c r="K9" s="208"/>
      <c r="L9" s="208"/>
      <c r="M9" s="208"/>
      <c r="N9" s="208"/>
      <c r="O9" s="208"/>
      <c r="P9" s="208"/>
    </row>
    <row r="10" spans="1:16" ht="12.75">
      <c r="A10" s="201"/>
      <c r="B10" s="207" t="s">
        <v>255</v>
      </c>
      <c r="C10" s="208"/>
      <c r="D10" s="208"/>
      <c r="E10" s="208"/>
      <c r="F10" s="208"/>
      <c r="G10" s="208"/>
      <c r="H10" s="209"/>
      <c r="I10" s="208"/>
      <c r="J10" s="208"/>
      <c r="K10" s="208"/>
      <c r="L10" s="208"/>
      <c r="M10" s="208"/>
      <c r="N10" s="208"/>
      <c r="O10" s="208"/>
      <c r="P10" s="208"/>
    </row>
    <row r="11" spans="1:16" ht="12.75">
      <c r="A11" s="201"/>
      <c r="B11" s="207" t="s">
        <v>256</v>
      </c>
      <c r="C11" s="208"/>
      <c r="D11" s="208"/>
      <c r="E11" s="208"/>
      <c r="F11" s="208"/>
      <c r="G11" s="208"/>
      <c r="H11" s="209"/>
      <c r="I11" s="208"/>
      <c r="J11" s="208"/>
      <c r="K11" s="208"/>
      <c r="L11" s="210"/>
      <c r="M11" s="210"/>
      <c r="N11" s="210"/>
      <c r="O11" s="210"/>
      <c r="P11" s="211"/>
    </row>
    <row r="12" spans="1:16" ht="12.75">
      <c r="A12" s="201"/>
      <c r="B12" s="207" t="s">
        <v>257</v>
      </c>
      <c r="C12" s="208"/>
      <c r="D12" s="208"/>
      <c r="E12" s="208"/>
      <c r="F12" s="208"/>
      <c r="G12" s="208"/>
      <c r="H12" s="209"/>
      <c r="I12" s="208"/>
      <c r="J12" s="208"/>
      <c r="K12" s="208"/>
      <c r="L12" s="208"/>
      <c r="M12" s="208"/>
      <c r="N12" s="208"/>
      <c r="O12" s="208"/>
      <c r="P12" s="208"/>
    </row>
    <row r="13" spans="1:16" ht="12.75">
      <c r="A13" s="201"/>
      <c r="B13" s="207" t="s">
        <v>258</v>
      </c>
      <c r="C13" s="208"/>
      <c r="D13" s="208"/>
      <c r="E13" s="208"/>
      <c r="F13" s="208"/>
      <c r="G13" s="208"/>
      <c r="H13" s="209"/>
      <c r="I13" s="208"/>
      <c r="J13" s="208"/>
      <c r="K13" s="208"/>
      <c r="L13" s="208"/>
      <c r="M13" s="208"/>
      <c r="N13" s="208"/>
      <c r="O13" s="208"/>
      <c r="P13" s="208"/>
    </row>
    <row r="14" spans="1:16" ht="12.75">
      <c r="A14" s="201"/>
      <c r="B14" s="207"/>
      <c r="C14" s="212"/>
      <c r="D14" s="208"/>
      <c r="E14" s="208"/>
      <c r="F14" s="208"/>
      <c r="G14" s="208"/>
      <c r="H14" s="209"/>
      <c r="I14" s="208"/>
      <c r="J14" s="208"/>
      <c r="K14" s="208"/>
      <c r="L14" s="208"/>
      <c r="M14" s="208"/>
      <c r="N14" s="208"/>
      <c r="O14" s="208"/>
      <c r="P14" s="208"/>
    </row>
    <row r="15" spans="1:16" ht="13.5" thickBot="1">
      <c r="A15" s="201"/>
      <c r="B15" s="208"/>
      <c r="C15" s="213"/>
      <c r="D15" s="213"/>
      <c r="E15" s="208"/>
      <c r="F15" s="208"/>
      <c r="G15" s="213"/>
      <c r="H15" s="209"/>
      <c r="I15" s="213"/>
      <c r="J15" s="208"/>
      <c r="K15" s="208"/>
      <c r="L15" s="208"/>
      <c r="M15" s="208"/>
      <c r="N15" s="208"/>
      <c r="O15" s="208"/>
      <c r="P15" s="214" t="s">
        <v>73</v>
      </c>
    </row>
    <row r="16" spans="1:16" ht="14.25" thickBot="1">
      <c r="A16" s="201"/>
      <c r="B16" s="215" t="s">
        <v>259</v>
      </c>
      <c r="C16" s="216" t="s">
        <v>260</v>
      </c>
      <c r="D16" s="216" t="s">
        <v>261</v>
      </c>
      <c r="E16" s="216" t="s">
        <v>262</v>
      </c>
      <c r="F16" s="216" t="s">
        <v>263</v>
      </c>
      <c r="G16" s="216" t="s">
        <v>264</v>
      </c>
      <c r="H16" s="217" t="s">
        <v>265</v>
      </c>
      <c r="I16" s="216" t="s">
        <v>266</v>
      </c>
      <c r="J16" s="216" t="s">
        <v>267</v>
      </c>
      <c r="K16" s="216" t="s">
        <v>268</v>
      </c>
      <c r="L16" s="216" t="s">
        <v>269</v>
      </c>
      <c r="M16" s="216" t="s">
        <v>270</v>
      </c>
      <c r="N16" s="216" t="s">
        <v>271</v>
      </c>
      <c r="O16" s="216"/>
      <c r="P16" s="216" t="s">
        <v>272</v>
      </c>
    </row>
    <row r="17" spans="1:16" ht="12.75">
      <c r="A17" s="201"/>
      <c r="B17" s="218" t="s">
        <v>273</v>
      </c>
      <c r="C17" s="219">
        <v>0</v>
      </c>
      <c r="D17" s="219">
        <v>0</v>
      </c>
      <c r="E17" s="219">
        <v>0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19"/>
      <c r="P17" s="219">
        <v>0</v>
      </c>
    </row>
    <row r="18" spans="1:16" ht="12.75">
      <c r="A18" s="201"/>
      <c r="B18" s="220" t="s">
        <v>274</v>
      </c>
      <c r="C18" s="221">
        <v>255591</v>
      </c>
      <c r="D18" s="221">
        <v>1280097</v>
      </c>
      <c r="E18" s="221">
        <v>4886182</v>
      </c>
      <c r="F18" s="221">
        <v>1883353</v>
      </c>
      <c r="G18" s="221">
        <v>204133</v>
      </c>
      <c r="H18" s="221">
        <v>106141</v>
      </c>
      <c r="I18" s="221">
        <v>8040</v>
      </c>
      <c r="J18" s="221">
        <v>124643</v>
      </c>
      <c r="K18" s="221">
        <v>2300</v>
      </c>
      <c r="L18" s="221">
        <v>1872504</v>
      </c>
      <c r="M18" s="221">
        <v>108441</v>
      </c>
      <c r="N18" s="221">
        <v>8750480</v>
      </c>
      <c r="O18" s="221"/>
      <c r="P18" s="221">
        <v>8750480</v>
      </c>
    </row>
    <row r="19" spans="1:16" ht="12.75">
      <c r="A19" s="201"/>
      <c r="B19" s="222" t="s">
        <v>275</v>
      </c>
      <c r="C19" s="221">
        <f>276190.08-10.87+2333.33</f>
        <v>278512.54000000004</v>
      </c>
      <c r="D19" s="221">
        <f>1527059.18+1387.95</f>
        <v>1528447.13</v>
      </c>
      <c r="E19" s="221">
        <v>4851404.11</v>
      </c>
      <c r="F19" s="221">
        <v>1811288.43</v>
      </c>
      <c r="G19" s="221">
        <f>253259.16+17032.47</f>
        <v>270291.63</v>
      </c>
      <c r="H19" s="221">
        <v>96486.45</v>
      </c>
      <c r="I19" s="221">
        <v>10856.46</v>
      </c>
      <c r="J19" s="221">
        <v>36316.17</v>
      </c>
      <c r="K19" s="221">
        <v>1570.2</v>
      </c>
      <c r="L19" s="221">
        <f>C19+D19+G19+I19+J19</f>
        <v>2124423.9299999997</v>
      </c>
      <c r="M19" s="221">
        <f>H19+K19</f>
        <v>98056.65</v>
      </c>
      <c r="N19" s="221">
        <f>E19+F19+L19+M19</f>
        <v>8885173.12</v>
      </c>
      <c r="O19" s="221"/>
      <c r="P19" s="223">
        <f>N19+O19</f>
        <v>8885173.12</v>
      </c>
    </row>
    <row r="20" spans="1:16" ht="12.75">
      <c r="A20" s="201"/>
      <c r="B20" s="224" t="s">
        <v>276</v>
      </c>
      <c r="C20" s="219">
        <f aca="true" t="shared" si="0" ref="C20:N20">C19/C18*100</f>
        <v>108.96805443071158</v>
      </c>
      <c r="D20" s="219">
        <f t="shared" si="0"/>
        <v>119.40088368303338</v>
      </c>
      <c r="E20" s="219">
        <f t="shared" si="0"/>
        <v>99.28823997959962</v>
      </c>
      <c r="F20" s="219">
        <f t="shared" si="0"/>
        <v>96.17360261193733</v>
      </c>
      <c r="G20" s="219">
        <f t="shared" si="0"/>
        <v>132.4095712109262</v>
      </c>
      <c r="H20" s="219">
        <f t="shared" si="0"/>
        <v>90.90403331417643</v>
      </c>
      <c r="I20" s="219">
        <f t="shared" si="0"/>
        <v>135.03059701492538</v>
      </c>
      <c r="J20" s="219">
        <f t="shared" si="0"/>
        <v>29.136148841090154</v>
      </c>
      <c r="K20" s="219">
        <f t="shared" si="0"/>
        <v>68.2695652173913</v>
      </c>
      <c r="L20" s="219">
        <f t="shared" si="0"/>
        <v>113.45363908434906</v>
      </c>
      <c r="M20" s="219">
        <f t="shared" si="0"/>
        <v>90.42396326112816</v>
      </c>
      <c r="N20" s="219">
        <f t="shared" si="0"/>
        <v>101.53926550314954</v>
      </c>
      <c r="O20" s="219"/>
      <c r="P20" s="219">
        <f>P19/P18*100</f>
        <v>101.53926550314954</v>
      </c>
    </row>
    <row r="21" spans="1:16" ht="12.75">
      <c r="A21" s="201"/>
      <c r="B21" s="218" t="s">
        <v>277</v>
      </c>
      <c r="C21" s="225">
        <v>0</v>
      </c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/>
      <c r="P21" s="225">
        <v>0</v>
      </c>
    </row>
    <row r="22" spans="1:16" ht="12.75">
      <c r="A22" s="201"/>
      <c r="B22" s="220" t="s">
        <v>274</v>
      </c>
      <c r="C22" s="221">
        <v>89435</v>
      </c>
      <c r="D22" s="221">
        <v>228825</v>
      </c>
      <c r="E22" s="221">
        <v>1464378</v>
      </c>
      <c r="F22" s="221">
        <v>574936</v>
      </c>
      <c r="G22" s="221">
        <v>77085</v>
      </c>
      <c r="H22" s="221">
        <v>57100</v>
      </c>
      <c r="I22" s="221">
        <v>5423</v>
      </c>
      <c r="J22" s="221">
        <v>83000</v>
      </c>
      <c r="K22" s="221">
        <v>850</v>
      </c>
      <c r="L22" s="221">
        <v>483768</v>
      </c>
      <c r="M22" s="221">
        <v>57950</v>
      </c>
      <c r="N22" s="221">
        <v>2581032</v>
      </c>
      <c r="O22" s="221"/>
      <c r="P22" s="221">
        <v>2581032</v>
      </c>
    </row>
    <row r="23" spans="1:16" ht="12.75">
      <c r="A23" s="201"/>
      <c r="B23" s="222" t="s">
        <v>275</v>
      </c>
      <c r="C23" s="221">
        <f>100964.07+99.07+15244.11</f>
        <v>116307.25000000001</v>
      </c>
      <c r="D23" s="221">
        <f>267560.83+1252.56</f>
        <v>268813.39</v>
      </c>
      <c r="E23" s="221">
        <v>1498216.07</v>
      </c>
      <c r="F23" s="221">
        <v>568255.34</v>
      </c>
      <c r="G23" s="221">
        <f>75672.51+4993.86</f>
        <v>80666.37</v>
      </c>
      <c r="H23" s="221">
        <v>54250.43</v>
      </c>
      <c r="I23" s="221">
        <v>9786.05</v>
      </c>
      <c r="J23" s="221">
        <v>26212.01</v>
      </c>
      <c r="K23" s="221">
        <v>896.12</v>
      </c>
      <c r="L23" s="221">
        <f>C23+D23+G23+I23+J23</f>
        <v>501785.07</v>
      </c>
      <c r="M23" s="221">
        <f>H23+K23</f>
        <v>55146.55</v>
      </c>
      <c r="N23" s="221">
        <f>E23+F23+L23+M23</f>
        <v>2623403.03</v>
      </c>
      <c r="O23" s="221"/>
      <c r="P23" s="223">
        <f>N23+O23</f>
        <v>2623403.03</v>
      </c>
    </row>
    <row r="24" spans="1:16" ht="12.75">
      <c r="A24" s="201"/>
      <c r="B24" s="224" t="s">
        <v>276</v>
      </c>
      <c r="C24" s="219">
        <f aca="true" t="shared" si="1" ref="C24:N24">C23/C22*100</f>
        <v>130.04668194778333</v>
      </c>
      <c r="D24" s="219">
        <f t="shared" si="1"/>
        <v>117.47553370479625</v>
      </c>
      <c r="E24" s="219">
        <f t="shared" si="1"/>
        <v>102.31074695194819</v>
      </c>
      <c r="F24" s="219">
        <f t="shared" si="1"/>
        <v>98.83801675316904</v>
      </c>
      <c r="G24" s="219">
        <f t="shared" si="1"/>
        <v>104.64600116754232</v>
      </c>
      <c r="H24" s="219">
        <f t="shared" si="1"/>
        <v>95.00950963222417</v>
      </c>
      <c r="I24" s="219">
        <f t="shared" si="1"/>
        <v>180.45454545454544</v>
      </c>
      <c r="J24" s="219">
        <f t="shared" si="1"/>
        <v>31.580734939759036</v>
      </c>
      <c r="K24" s="219">
        <f t="shared" si="1"/>
        <v>105.42588235294117</v>
      </c>
      <c r="L24" s="219">
        <f t="shared" si="1"/>
        <v>103.72432033536737</v>
      </c>
      <c r="M24" s="219">
        <f t="shared" si="1"/>
        <v>95.16229508196722</v>
      </c>
      <c r="N24" s="219">
        <f t="shared" si="1"/>
        <v>101.64163133196334</v>
      </c>
      <c r="O24" s="219"/>
      <c r="P24" s="219">
        <f>P23/P22*100</f>
        <v>101.64163133196334</v>
      </c>
    </row>
    <row r="25" spans="1:16" ht="12.75">
      <c r="A25" s="201"/>
      <c r="B25" s="218" t="s">
        <v>278</v>
      </c>
      <c r="C25" s="225">
        <v>0</v>
      </c>
      <c r="D25" s="225">
        <v>0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/>
      <c r="P25" s="225">
        <v>0</v>
      </c>
    </row>
    <row r="26" spans="1:16" ht="12.75">
      <c r="A26" s="201"/>
      <c r="B26" s="220" t="s">
        <v>274</v>
      </c>
      <c r="C26" s="221">
        <v>67700</v>
      </c>
      <c r="D26" s="221">
        <v>127502</v>
      </c>
      <c r="E26" s="221">
        <v>653082</v>
      </c>
      <c r="F26" s="221">
        <v>251950</v>
      </c>
      <c r="G26" s="221">
        <v>37399</v>
      </c>
      <c r="H26" s="221">
        <v>13842</v>
      </c>
      <c r="I26" s="221">
        <v>6669</v>
      </c>
      <c r="J26" s="221">
        <v>34100</v>
      </c>
      <c r="K26" s="221">
        <v>650</v>
      </c>
      <c r="L26" s="221">
        <v>273370</v>
      </c>
      <c r="M26" s="221">
        <v>14492</v>
      </c>
      <c r="N26" s="221">
        <v>1192894</v>
      </c>
      <c r="O26" s="221"/>
      <c r="P26" s="221">
        <v>1192894</v>
      </c>
    </row>
    <row r="27" spans="1:16" ht="12.75">
      <c r="A27" s="201"/>
      <c r="B27" s="222" t="s">
        <v>275</v>
      </c>
      <c r="C27" s="221">
        <f>61800.86+4.67</f>
        <v>61805.53</v>
      </c>
      <c r="D27" s="221">
        <f>153322.74+360.67</f>
        <v>153683.41</v>
      </c>
      <c r="E27" s="221">
        <v>662631.34</v>
      </c>
      <c r="F27" s="221">
        <v>251540.67</v>
      </c>
      <c r="G27" s="221">
        <f>37510.77+1272.02</f>
        <v>38782.78999999999</v>
      </c>
      <c r="H27" s="221">
        <v>11897.35</v>
      </c>
      <c r="I27" s="221">
        <v>6714.11</v>
      </c>
      <c r="J27" s="221">
        <v>9705.34</v>
      </c>
      <c r="K27" s="221">
        <v>535.7</v>
      </c>
      <c r="L27" s="221">
        <f>C27+D27+G27+I27+J27</f>
        <v>270691.18</v>
      </c>
      <c r="M27" s="221">
        <f>H27+K27</f>
        <v>12433.050000000001</v>
      </c>
      <c r="N27" s="221">
        <f>E27+F27+L27+M27</f>
        <v>1197296.24</v>
      </c>
      <c r="O27" s="221"/>
      <c r="P27" s="223">
        <f>N27+O27</f>
        <v>1197296.24</v>
      </c>
    </row>
    <row r="28" spans="1:16" ht="12.75">
      <c r="A28" s="201"/>
      <c r="B28" s="224" t="s">
        <v>276</v>
      </c>
      <c r="C28" s="219">
        <f aca="true" t="shared" si="2" ref="C28:N28">C27/C26*100</f>
        <v>91.29324963072378</v>
      </c>
      <c r="D28" s="219">
        <f t="shared" si="2"/>
        <v>120.53411711188843</v>
      </c>
      <c r="E28" s="219">
        <f t="shared" si="2"/>
        <v>101.4621961713843</v>
      </c>
      <c r="F28" s="219">
        <f t="shared" si="2"/>
        <v>99.83753522524312</v>
      </c>
      <c r="G28" s="219">
        <f t="shared" si="2"/>
        <v>103.70007219444368</v>
      </c>
      <c r="H28" s="219">
        <f t="shared" si="2"/>
        <v>85.95109088282041</v>
      </c>
      <c r="I28" s="219">
        <f t="shared" si="2"/>
        <v>100.67641325536061</v>
      </c>
      <c r="J28" s="219">
        <f t="shared" si="2"/>
        <v>28.461407624633434</v>
      </c>
      <c r="K28" s="219">
        <f t="shared" si="2"/>
        <v>82.41538461538462</v>
      </c>
      <c r="L28" s="219">
        <f t="shared" si="2"/>
        <v>99.02007535574496</v>
      </c>
      <c r="M28" s="219">
        <f t="shared" si="2"/>
        <v>85.79250621032295</v>
      </c>
      <c r="N28" s="219">
        <f t="shared" si="2"/>
        <v>100.36903865724867</v>
      </c>
      <c r="O28" s="219"/>
      <c r="P28" s="219">
        <f>P27/P26*100</f>
        <v>100.36903865724867</v>
      </c>
    </row>
    <row r="29" spans="1:16" ht="12.75">
      <c r="A29" s="201"/>
      <c r="B29" s="218" t="s">
        <v>279</v>
      </c>
      <c r="C29" s="225">
        <v>0</v>
      </c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5"/>
      <c r="P29" s="225">
        <v>0</v>
      </c>
    </row>
    <row r="30" spans="1:16" ht="12.75">
      <c r="A30" s="201"/>
      <c r="B30" s="220" t="s">
        <v>274</v>
      </c>
      <c r="C30" s="221">
        <v>53466</v>
      </c>
      <c r="D30" s="221">
        <v>205519</v>
      </c>
      <c r="E30" s="221">
        <v>777625</v>
      </c>
      <c r="F30" s="221">
        <v>299334</v>
      </c>
      <c r="G30" s="221">
        <v>44950</v>
      </c>
      <c r="H30" s="221">
        <v>14699</v>
      </c>
      <c r="I30" s="221">
        <v>4806</v>
      </c>
      <c r="J30" s="221">
        <v>51195</v>
      </c>
      <c r="K30" s="221"/>
      <c r="L30" s="221">
        <v>359936</v>
      </c>
      <c r="M30" s="221">
        <v>14699</v>
      </c>
      <c r="N30" s="221">
        <v>1451594</v>
      </c>
      <c r="O30" s="221"/>
      <c r="P30" s="221">
        <v>1451594</v>
      </c>
    </row>
    <row r="31" spans="1:16" ht="12.75">
      <c r="A31" s="201"/>
      <c r="B31" s="222" t="s">
        <v>275</v>
      </c>
      <c r="C31" s="221">
        <f>44136.46-12.04+15820.09</f>
        <v>59944.509999999995</v>
      </c>
      <c r="D31" s="221">
        <f>232729.28+483.12</f>
        <v>233212.4</v>
      </c>
      <c r="E31" s="221">
        <v>785899.12</v>
      </c>
      <c r="F31" s="221">
        <v>301268.81</v>
      </c>
      <c r="G31" s="221">
        <f>43218.31+3703.04</f>
        <v>46921.35</v>
      </c>
      <c r="H31" s="221">
        <v>9018.36</v>
      </c>
      <c r="I31" s="221">
        <v>4396.85</v>
      </c>
      <c r="J31" s="221">
        <v>14666.32</v>
      </c>
      <c r="K31" s="221"/>
      <c r="L31" s="221">
        <f>C31+D31+G31+I31+J31</f>
        <v>359141.42999999993</v>
      </c>
      <c r="M31" s="221">
        <f>H31+K31</f>
        <v>9018.36</v>
      </c>
      <c r="N31" s="221">
        <f>E31+F31+L31+M31</f>
        <v>1455327.72</v>
      </c>
      <c r="O31" s="221"/>
      <c r="P31" s="223">
        <f>N31+O31</f>
        <v>1455327.72</v>
      </c>
    </row>
    <row r="32" spans="1:16" ht="12.75">
      <c r="A32" s="201"/>
      <c r="B32" s="224" t="s">
        <v>276</v>
      </c>
      <c r="C32" s="219">
        <f aca="true" t="shared" si="3" ref="C32:J32">C31/C30*100</f>
        <v>112.11706505068642</v>
      </c>
      <c r="D32" s="219">
        <f t="shared" si="3"/>
        <v>113.47486120504672</v>
      </c>
      <c r="E32" s="219">
        <f t="shared" si="3"/>
        <v>101.06402443337083</v>
      </c>
      <c r="F32" s="219">
        <f t="shared" si="3"/>
        <v>100.64637161164451</v>
      </c>
      <c r="G32" s="219">
        <f t="shared" si="3"/>
        <v>104.38565072302559</v>
      </c>
      <c r="H32" s="219">
        <f t="shared" si="3"/>
        <v>61.35356146676645</v>
      </c>
      <c r="I32" s="219">
        <f t="shared" si="3"/>
        <v>91.48668331252601</v>
      </c>
      <c r="J32" s="219">
        <f t="shared" si="3"/>
        <v>28.64795390174822</v>
      </c>
      <c r="K32" s="219"/>
      <c r="L32" s="219">
        <f>L31/L30*100</f>
        <v>99.77924686610952</v>
      </c>
      <c r="M32" s="219">
        <f>M31/M30*100</f>
        <v>61.35356146676645</v>
      </c>
      <c r="N32" s="219">
        <f>N31/N30*100</f>
        <v>100.25721517173534</v>
      </c>
      <c r="O32" s="219"/>
      <c r="P32" s="219">
        <f>P31/P30*100</f>
        <v>100.25721517173534</v>
      </c>
    </row>
    <row r="33" spans="1:16" ht="12.75">
      <c r="A33" s="201"/>
      <c r="B33" s="218" t="s">
        <v>280</v>
      </c>
      <c r="C33" s="225">
        <v>0</v>
      </c>
      <c r="D33" s="225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/>
      <c r="P33" s="225">
        <v>0</v>
      </c>
    </row>
    <row r="34" spans="1:16" ht="12.75">
      <c r="A34" s="201"/>
      <c r="B34" s="220" t="s">
        <v>274</v>
      </c>
      <c r="C34" s="221">
        <v>28314</v>
      </c>
      <c r="D34" s="221">
        <v>262514</v>
      </c>
      <c r="E34" s="221">
        <v>842572</v>
      </c>
      <c r="F34" s="221">
        <v>328032</v>
      </c>
      <c r="G34" s="221">
        <v>44887</v>
      </c>
      <c r="H34" s="221">
        <v>25543</v>
      </c>
      <c r="I34" s="221">
        <v>715</v>
      </c>
      <c r="J34" s="221">
        <v>46000</v>
      </c>
      <c r="K34" s="221"/>
      <c r="L34" s="221">
        <v>382430</v>
      </c>
      <c r="M34" s="221">
        <v>25543</v>
      </c>
      <c r="N34" s="221">
        <v>1578577</v>
      </c>
      <c r="O34" s="221"/>
      <c r="P34" s="221">
        <v>1578577</v>
      </c>
    </row>
    <row r="35" spans="1:16" ht="12.75">
      <c r="A35" s="201"/>
      <c r="B35" s="222" t="s">
        <v>275</v>
      </c>
      <c r="C35" s="221">
        <f>28970.47-6.61</f>
        <v>28963.86</v>
      </c>
      <c r="D35" s="221">
        <f>270992.51+1601.66</f>
        <v>272594.17</v>
      </c>
      <c r="E35" s="221">
        <v>846292.19</v>
      </c>
      <c r="F35" s="221">
        <v>318786.42</v>
      </c>
      <c r="G35" s="221">
        <f>46656.33+2039.1</f>
        <v>48695.43</v>
      </c>
      <c r="H35" s="221">
        <v>23719.04</v>
      </c>
      <c r="I35" s="221">
        <v>690.4</v>
      </c>
      <c r="J35" s="221">
        <v>16961.23</v>
      </c>
      <c r="K35" s="221"/>
      <c r="L35" s="221">
        <f>C35+D35+G35+I35+J35</f>
        <v>367905.08999999997</v>
      </c>
      <c r="M35" s="221">
        <f>H35+K35</f>
        <v>23719.04</v>
      </c>
      <c r="N35" s="221">
        <f>E35+F35+L35+M35</f>
        <v>1556702.7399999998</v>
      </c>
      <c r="O35" s="221"/>
      <c r="P35" s="223">
        <f>N35+O35</f>
        <v>1556702.7399999998</v>
      </c>
    </row>
    <row r="36" spans="1:16" ht="12.75">
      <c r="A36" s="201"/>
      <c r="B36" s="224" t="s">
        <v>276</v>
      </c>
      <c r="C36" s="219">
        <f aca="true" t="shared" si="4" ref="C36:J36">C35/C34*100</f>
        <v>102.29518965882602</v>
      </c>
      <c r="D36" s="219">
        <f t="shared" si="4"/>
        <v>103.83985996937307</v>
      </c>
      <c r="E36" s="219">
        <f t="shared" si="4"/>
        <v>100.44152784569151</v>
      </c>
      <c r="F36" s="219">
        <f t="shared" si="4"/>
        <v>97.18150058530874</v>
      </c>
      <c r="G36" s="219">
        <f t="shared" si="4"/>
        <v>108.48448325795887</v>
      </c>
      <c r="H36" s="219">
        <f t="shared" si="4"/>
        <v>92.85925693927886</v>
      </c>
      <c r="I36" s="219">
        <f t="shared" si="4"/>
        <v>96.55944055944056</v>
      </c>
      <c r="J36" s="219">
        <f t="shared" si="4"/>
        <v>36.87223913043478</v>
      </c>
      <c r="K36" s="219"/>
      <c r="L36" s="219">
        <f>L35/L34*100</f>
        <v>96.20194283921239</v>
      </c>
      <c r="M36" s="219">
        <f>M35/M34*100</f>
        <v>92.85925693927886</v>
      </c>
      <c r="N36" s="219">
        <f>N35/N34*100</f>
        <v>98.61430516218086</v>
      </c>
      <c r="O36" s="219"/>
      <c r="P36" s="219">
        <f>P35/P34*100</f>
        <v>98.61430516218086</v>
      </c>
    </row>
    <row r="37" spans="1:16" ht="12.75">
      <c r="A37" s="201"/>
      <c r="B37" s="218" t="s">
        <v>281</v>
      </c>
      <c r="C37" s="225">
        <v>0</v>
      </c>
      <c r="D37" s="225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/>
      <c r="P37" s="225">
        <v>0</v>
      </c>
    </row>
    <row r="38" spans="1:16" ht="12.75">
      <c r="A38" s="201"/>
      <c r="B38" s="220" t="s">
        <v>274</v>
      </c>
      <c r="C38" s="221">
        <v>92922</v>
      </c>
      <c r="D38" s="221">
        <v>213717</v>
      </c>
      <c r="E38" s="221">
        <v>1191433</v>
      </c>
      <c r="F38" s="221">
        <v>460287</v>
      </c>
      <c r="G38" s="221">
        <v>66386</v>
      </c>
      <c r="H38" s="221">
        <v>26334</v>
      </c>
      <c r="I38" s="221">
        <v>6585</v>
      </c>
      <c r="J38" s="221">
        <v>60600</v>
      </c>
      <c r="K38" s="221"/>
      <c r="L38" s="221">
        <v>440210</v>
      </c>
      <c r="M38" s="221">
        <v>26334</v>
      </c>
      <c r="N38" s="221">
        <v>2118264</v>
      </c>
      <c r="O38" s="221"/>
      <c r="P38" s="221">
        <v>2118264</v>
      </c>
    </row>
    <row r="39" spans="1:16" ht="12.75">
      <c r="A39" s="201"/>
      <c r="B39" s="222" t="s">
        <v>275</v>
      </c>
      <c r="C39" s="221">
        <f>89464.89-36+10080.84</f>
        <v>99509.73</v>
      </c>
      <c r="D39" s="221">
        <f>205837.47+519.07</f>
        <v>206356.54</v>
      </c>
      <c r="E39" s="221">
        <v>1199149.37</v>
      </c>
      <c r="F39" s="221">
        <v>456686.3</v>
      </c>
      <c r="G39" s="221">
        <f>61972.02+4319.67</f>
        <v>66291.69</v>
      </c>
      <c r="H39" s="221">
        <v>20765.41</v>
      </c>
      <c r="I39" s="221">
        <v>4736.13</v>
      </c>
      <c r="J39" s="221">
        <v>16284.3</v>
      </c>
      <c r="K39" s="221"/>
      <c r="L39" s="221">
        <f>C39+D39+G39+I39+J39</f>
        <v>393178.39</v>
      </c>
      <c r="M39" s="221">
        <f>H39+K39</f>
        <v>20765.41</v>
      </c>
      <c r="N39" s="221">
        <f>E39+F39+L39+M39</f>
        <v>2069779.47</v>
      </c>
      <c r="O39" s="221"/>
      <c r="P39" s="223">
        <f>N39+O39</f>
        <v>2069779.47</v>
      </c>
    </row>
    <row r="40" spans="1:16" ht="12.75">
      <c r="A40" s="201"/>
      <c r="B40" s="224" t="s">
        <v>276</v>
      </c>
      <c r="C40" s="219">
        <f aca="true" t="shared" si="5" ref="C40:J40">C39/C38*100</f>
        <v>107.08952669981274</v>
      </c>
      <c r="D40" s="219">
        <f t="shared" si="5"/>
        <v>96.55597823289678</v>
      </c>
      <c r="E40" s="219">
        <f t="shared" si="5"/>
        <v>100.64765454708741</v>
      </c>
      <c r="F40" s="219">
        <f t="shared" si="5"/>
        <v>99.21772720063787</v>
      </c>
      <c r="G40" s="219">
        <f t="shared" si="5"/>
        <v>99.85793691440968</v>
      </c>
      <c r="H40" s="219">
        <f t="shared" si="5"/>
        <v>78.85399103820157</v>
      </c>
      <c r="I40" s="219">
        <f t="shared" si="5"/>
        <v>71.92300683371299</v>
      </c>
      <c r="J40" s="219">
        <f t="shared" si="5"/>
        <v>26.871782178217817</v>
      </c>
      <c r="K40" s="219"/>
      <c r="L40" s="219">
        <f>L39/L38*100</f>
        <v>89.3160968628609</v>
      </c>
      <c r="M40" s="219">
        <f>M39/M38*100</f>
        <v>78.85399103820157</v>
      </c>
      <c r="N40" s="219">
        <f>N39/N38*100</f>
        <v>97.71111957716319</v>
      </c>
      <c r="O40" s="219"/>
      <c r="P40" s="219">
        <f>P39/P38*100</f>
        <v>97.71111957716319</v>
      </c>
    </row>
    <row r="41" spans="1:16" ht="12.75">
      <c r="A41" s="201"/>
      <c r="B41" s="218" t="s">
        <v>282</v>
      </c>
      <c r="C41" s="225">
        <v>0</v>
      </c>
      <c r="D41" s="225">
        <v>0</v>
      </c>
      <c r="E41" s="225">
        <v>0</v>
      </c>
      <c r="F41" s="225">
        <v>0</v>
      </c>
      <c r="G41" s="225">
        <v>0</v>
      </c>
      <c r="H41" s="225">
        <v>0</v>
      </c>
      <c r="I41" s="225">
        <v>0</v>
      </c>
      <c r="J41" s="225">
        <v>0</v>
      </c>
      <c r="K41" s="225">
        <v>0</v>
      </c>
      <c r="L41" s="225">
        <v>0</v>
      </c>
      <c r="M41" s="225">
        <v>0</v>
      </c>
      <c r="N41" s="225">
        <v>0</v>
      </c>
      <c r="O41" s="225"/>
      <c r="P41" s="225">
        <v>0</v>
      </c>
    </row>
    <row r="42" spans="1:16" ht="12.75">
      <c r="A42" s="201"/>
      <c r="B42" s="220" t="s">
        <v>274</v>
      </c>
      <c r="C42" s="221">
        <v>80162</v>
      </c>
      <c r="D42" s="221">
        <v>153683</v>
      </c>
      <c r="E42" s="221">
        <v>1078386</v>
      </c>
      <c r="F42" s="221">
        <v>414003</v>
      </c>
      <c r="G42" s="221">
        <v>58734</v>
      </c>
      <c r="H42" s="221">
        <v>16837</v>
      </c>
      <c r="I42" s="221">
        <v>23950</v>
      </c>
      <c r="J42" s="221">
        <v>60090</v>
      </c>
      <c r="K42" s="221">
        <v>900</v>
      </c>
      <c r="L42" s="221">
        <v>376619</v>
      </c>
      <c r="M42" s="221">
        <v>17737</v>
      </c>
      <c r="N42" s="221">
        <v>1886745</v>
      </c>
      <c r="O42" s="221"/>
      <c r="P42" s="221">
        <v>1886745</v>
      </c>
    </row>
    <row r="43" spans="1:16" ht="12.75">
      <c r="A43" s="201"/>
      <c r="B43" s="222" t="s">
        <v>275</v>
      </c>
      <c r="C43" s="221">
        <f>77906.41-2.07+3687.93</f>
        <v>81592.26999999999</v>
      </c>
      <c r="D43" s="221">
        <f>173327.07+96.51</f>
        <v>173423.58000000002</v>
      </c>
      <c r="E43" s="221">
        <v>1030918.13</v>
      </c>
      <c r="F43" s="221">
        <v>389475.84</v>
      </c>
      <c r="G43" s="221">
        <f>52189.22+3005.95</f>
        <v>55195.17</v>
      </c>
      <c r="H43" s="221">
        <v>11324.13</v>
      </c>
      <c r="I43" s="221">
        <v>7416.6</v>
      </c>
      <c r="J43" s="221">
        <v>20194.46</v>
      </c>
      <c r="K43" s="221">
        <v>615.42</v>
      </c>
      <c r="L43" s="221">
        <f>C43+D43+G43+I43+J43</f>
        <v>337822.08</v>
      </c>
      <c r="M43" s="221">
        <f>H43+K43</f>
        <v>11939.55</v>
      </c>
      <c r="N43" s="221">
        <f>E43+F43+L43+M43</f>
        <v>1770155.6</v>
      </c>
      <c r="O43" s="221"/>
      <c r="P43" s="223">
        <f>N43+O43</f>
        <v>1770155.6</v>
      </c>
    </row>
    <row r="44" spans="1:16" ht="12.75">
      <c r="A44" s="201"/>
      <c r="B44" s="224" t="s">
        <v>276</v>
      </c>
      <c r="C44" s="219">
        <f aca="true" t="shared" si="6" ref="C44:N44">C43/C42*100</f>
        <v>101.78422444549786</v>
      </c>
      <c r="D44" s="219">
        <f t="shared" si="6"/>
        <v>112.84499912156842</v>
      </c>
      <c r="E44" s="219">
        <f t="shared" si="6"/>
        <v>95.59824867904443</v>
      </c>
      <c r="F44" s="219">
        <f t="shared" si="6"/>
        <v>94.07560814776706</v>
      </c>
      <c r="G44" s="219">
        <f t="shared" si="6"/>
        <v>93.97481867402185</v>
      </c>
      <c r="H44" s="219">
        <f t="shared" si="6"/>
        <v>67.25740927718714</v>
      </c>
      <c r="I44" s="219">
        <f t="shared" si="6"/>
        <v>30.96701461377871</v>
      </c>
      <c r="J44" s="219">
        <f t="shared" si="6"/>
        <v>33.607022799134626</v>
      </c>
      <c r="K44" s="219">
        <f t="shared" si="6"/>
        <v>68.38</v>
      </c>
      <c r="L44" s="219">
        <f t="shared" si="6"/>
        <v>89.69862911855218</v>
      </c>
      <c r="M44" s="219">
        <f t="shared" si="6"/>
        <v>67.31437108868467</v>
      </c>
      <c r="N44" s="219">
        <f t="shared" si="6"/>
        <v>93.82060638825067</v>
      </c>
      <c r="O44" s="219"/>
      <c r="P44" s="219">
        <f>P43/P42*100</f>
        <v>93.82060638825067</v>
      </c>
    </row>
    <row r="45" spans="1:16" ht="12.75">
      <c r="A45" s="201"/>
      <c r="B45" s="218" t="s">
        <v>283</v>
      </c>
      <c r="C45" s="225">
        <v>0</v>
      </c>
      <c r="D45" s="225">
        <v>0</v>
      </c>
      <c r="E45" s="225">
        <v>0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/>
      <c r="P45" s="225">
        <v>0</v>
      </c>
    </row>
    <row r="46" spans="1:16" ht="12.75">
      <c r="A46" s="201"/>
      <c r="B46" s="220" t="s">
        <v>274</v>
      </c>
      <c r="C46" s="221">
        <v>28742</v>
      </c>
      <c r="D46" s="221">
        <v>298775</v>
      </c>
      <c r="E46" s="221">
        <v>957116</v>
      </c>
      <c r="F46" s="221">
        <v>376137</v>
      </c>
      <c r="G46" s="221">
        <v>55967</v>
      </c>
      <c r="H46" s="221">
        <v>38122</v>
      </c>
      <c r="I46" s="221">
        <v>10324</v>
      </c>
      <c r="J46" s="221">
        <v>78882</v>
      </c>
      <c r="K46" s="221"/>
      <c r="L46" s="221">
        <v>472690</v>
      </c>
      <c r="M46" s="221">
        <v>38122</v>
      </c>
      <c r="N46" s="221">
        <v>1844065</v>
      </c>
      <c r="O46" s="221"/>
      <c r="P46" s="221">
        <v>1844065</v>
      </c>
    </row>
    <row r="47" spans="1:16" ht="12.75">
      <c r="A47" s="201"/>
      <c r="B47" s="222" t="s">
        <v>275</v>
      </c>
      <c r="C47" s="221">
        <f>28530.04+5.42</f>
        <v>28535.46</v>
      </c>
      <c r="D47" s="221">
        <f>340440.29+483.51</f>
        <v>340923.8</v>
      </c>
      <c r="E47" s="221">
        <v>922243.35</v>
      </c>
      <c r="F47" s="221">
        <v>351631.11</v>
      </c>
      <c r="G47" s="221">
        <f>46813.19+2992.48</f>
        <v>49805.670000000006</v>
      </c>
      <c r="H47" s="221">
        <v>23367.81</v>
      </c>
      <c r="I47" s="221">
        <v>7621.55</v>
      </c>
      <c r="J47" s="221">
        <v>15721.65</v>
      </c>
      <c r="K47" s="221"/>
      <c r="L47" s="221">
        <f>C47+D47+G47+I47+J47</f>
        <v>442608.13</v>
      </c>
      <c r="M47" s="221">
        <f>H47+K47</f>
        <v>23367.81</v>
      </c>
      <c r="N47" s="221">
        <f>E47+F47+L47+M47</f>
        <v>1739850.4</v>
      </c>
      <c r="O47" s="221"/>
      <c r="P47" s="223">
        <f>N47+O47</f>
        <v>1739850.4</v>
      </c>
    </row>
    <row r="48" spans="1:16" ht="12.75">
      <c r="A48" s="201"/>
      <c r="B48" s="224" t="s">
        <v>276</v>
      </c>
      <c r="C48" s="219">
        <f aca="true" t="shared" si="7" ref="C48:J48">C47/C46*100</f>
        <v>99.28140004175074</v>
      </c>
      <c r="D48" s="219">
        <f t="shared" si="7"/>
        <v>114.10720441804033</v>
      </c>
      <c r="E48" s="219">
        <f t="shared" si="7"/>
        <v>96.35648657007093</v>
      </c>
      <c r="F48" s="219">
        <f t="shared" si="7"/>
        <v>93.48484993499709</v>
      </c>
      <c r="G48" s="219">
        <f t="shared" si="7"/>
        <v>88.99113763467759</v>
      </c>
      <c r="H48" s="219">
        <f t="shared" si="7"/>
        <v>61.29743979854153</v>
      </c>
      <c r="I48" s="219">
        <f t="shared" si="7"/>
        <v>73.82361487795428</v>
      </c>
      <c r="J48" s="219">
        <f t="shared" si="7"/>
        <v>19.93059253061535</v>
      </c>
      <c r="K48" s="219"/>
      <c r="L48" s="219">
        <f>L47/L46*100</f>
        <v>93.63602572510526</v>
      </c>
      <c r="M48" s="219">
        <f>M47/M46*100</f>
        <v>61.29743979854153</v>
      </c>
      <c r="N48" s="219">
        <f>N47/N46*100</f>
        <v>94.3486482309463</v>
      </c>
      <c r="O48" s="219"/>
      <c r="P48" s="219">
        <f>P47/P46*100</f>
        <v>94.3486482309463</v>
      </c>
    </row>
    <row r="49" spans="1:16" ht="12.75">
      <c r="A49" s="201"/>
      <c r="B49" s="218" t="s">
        <v>284</v>
      </c>
      <c r="C49" s="225">
        <v>0</v>
      </c>
      <c r="D49" s="225">
        <v>0</v>
      </c>
      <c r="E49" s="225">
        <v>0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25"/>
      <c r="P49" s="225">
        <v>0</v>
      </c>
    </row>
    <row r="50" spans="1:16" ht="12.75">
      <c r="A50" s="201"/>
      <c r="B50" s="220" t="s">
        <v>274</v>
      </c>
      <c r="C50" s="221">
        <v>96338</v>
      </c>
      <c r="D50" s="221">
        <v>162455</v>
      </c>
      <c r="E50" s="221">
        <v>1265552</v>
      </c>
      <c r="F50" s="221">
        <v>493246</v>
      </c>
      <c r="G50" s="221">
        <v>72802</v>
      </c>
      <c r="H50" s="221">
        <v>39710</v>
      </c>
      <c r="I50" s="221">
        <v>2653</v>
      </c>
      <c r="J50" s="221">
        <v>58330</v>
      </c>
      <c r="K50" s="221">
        <v>950</v>
      </c>
      <c r="L50" s="221">
        <v>392578</v>
      </c>
      <c r="M50" s="221">
        <v>40660</v>
      </c>
      <c r="N50" s="221">
        <v>2192036</v>
      </c>
      <c r="O50" s="221"/>
      <c r="P50" s="221">
        <v>2192036</v>
      </c>
    </row>
    <row r="51" spans="1:16" ht="12.75">
      <c r="A51" s="201"/>
      <c r="B51" s="222" t="s">
        <v>275</v>
      </c>
      <c r="C51" s="221">
        <f>90234.43-86.36+187.5</f>
        <v>90335.56999999999</v>
      </c>
      <c r="D51" s="221">
        <f>175401.86+475.08</f>
        <v>175876.93999999997</v>
      </c>
      <c r="E51" s="221">
        <v>1272070.85</v>
      </c>
      <c r="F51" s="221">
        <v>480566.74</v>
      </c>
      <c r="G51" s="221">
        <f>66297.45+6671.17</f>
        <v>72968.62</v>
      </c>
      <c r="H51" s="221">
        <v>32240.07</v>
      </c>
      <c r="I51" s="221">
        <v>4552.15</v>
      </c>
      <c r="J51" s="221">
        <v>18164.26</v>
      </c>
      <c r="K51" s="221">
        <v>952.36</v>
      </c>
      <c r="L51" s="221">
        <f>C51+D51+G51+I51+J51</f>
        <v>361897.54</v>
      </c>
      <c r="M51" s="221">
        <f>H51+K51</f>
        <v>33192.43</v>
      </c>
      <c r="N51" s="221">
        <f>E51+F51+L51+M51</f>
        <v>2147727.56</v>
      </c>
      <c r="O51" s="221"/>
      <c r="P51" s="223">
        <f>N51+O51</f>
        <v>2147727.56</v>
      </c>
    </row>
    <row r="52" spans="1:16" ht="12.75">
      <c r="A52" s="201"/>
      <c r="B52" s="224" t="s">
        <v>276</v>
      </c>
      <c r="C52" s="219">
        <f aca="true" t="shared" si="8" ref="C52:N52">C51/C50*100</f>
        <v>93.76940563432913</v>
      </c>
      <c r="D52" s="219">
        <f t="shared" si="8"/>
        <v>108.26194330737742</v>
      </c>
      <c r="E52" s="219">
        <f t="shared" si="8"/>
        <v>100.51509934005082</v>
      </c>
      <c r="F52" s="219">
        <f t="shared" si="8"/>
        <v>97.42942466842102</v>
      </c>
      <c r="G52" s="219">
        <f t="shared" si="8"/>
        <v>100.22886733880935</v>
      </c>
      <c r="H52" s="219">
        <f t="shared" si="8"/>
        <v>81.18879375472173</v>
      </c>
      <c r="I52" s="219">
        <f t="shared" si="8"/>
        <v>171.5849981153411</v>
      </c>
      <c r="J52" s="219">
        <f t="shared" si="8"/>
        <v>31.140510886336358</v>
      </c>
      <c r="K52" s="219">
        <f t="shared" si="8"/>
        <v>100.24842105263158</v>
      </c>
      <c r="L52" s="219">
        <f t="shared" si="8"/>
        <v>92.18487536234838</v>
      </c>
      <c r="M52" s="219">
        <f t="shared" si="8"/>
        <v>81.63411214953271</v>
      </c>
      <c r="N52" s="219">
        <f t="shared" si="8"/>
        <v>97.97866275918827</v>
      </c>
      <c r="O52" s="219"/>
      <c r="P52" s="219">
        <f>P51/P50*100</f>
        <v>97.97866275918827</v>
      </c>
    </row>
    <row r="53" spans="1:16" ht="12.75">
      <c r="A53" s="201"/>
      <c r="B53" s="218" t="s">
        <v>285</v>
      </c>
      <c r="C53" s="225">
        <v>0</v>
      </c>
      <c r="D53" s="225">
        <v>0</v>
      </c>
      <c r="E53" s="225">
        <v>0</v>
      </c>
      <c r="F53" s="225">
        <v>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25">
        <v>0</v>
      </c>
      <c r="N53" s="225">
        <v>0</v>
      </c>
      <c r="O53" s="225"/>
      <c r="P53" s="225">
        <v>0</v>
      </c>
    </row>
    <row r="54" spans="1:16" ht="12.75">
      <c r="A54" s="201"/>
      <c r="B54" s="220" t="s">
        <v>274</v>
      </c>
      <c r="C54" s="221">
        <v>47890</v>
      </c>
      <c r="D54" s="221">
        <v>115059</v>
      </c>
      <c r="E54" s="221">
        <v>639896</v>
      </c>
      <c r="F54" s="221">
        <v>251073</v>
      </c>
      <c r="G54" s="221">
        <v>36768</v>
      </c>
      <c r="H54" s="221">
        <v>24616</v>
      </c>
      <c r="I54" s="221">
        <v>2230</v>
      </c>
      <c r="J54" s="221">
        <v>25500</v>
      </c>
      <c r="K54" s="221"/>
      <c r="L54" s="221">
        <v>227447</v>
      </c>
      <c r="M54" s="221">
        <v>24616</v>
      </c>
      <c r="N54" s="221">
        <v>1143032</v>
      </c>
      <c r="O54" s="221"/>
      <c r="P54" s="221">
        <v>1143032</v>
      </c>
    </row>
    <row r="55" spans="1:16" ht="12.75">
      <c r="A55" s="201"/>
      <c r="B55" s="222" t="s">
        <v>275</v>
      </c>
      <c r="C55" s="221">
        <f>45814.2+0.85+8940.3</f>
        <v>54755.34999999999</v>
      </c>
      <c r="D55" s="221">
        <f>113880.78+508.47</f>
        <v>114389.25</v>
      </c>
      <c r="E55" s="221">
        <v>647768.9</v>
      </c>
      <c r="F55" s="221">
        <v>244908.23</v>
      </c>
      <c r="G55" s="221">
        <f>35182.61+1425.46</f>
        <v>36608.07</v>
      </c>
      <c r="H55" s="221">
        <v>25846.69</v>
      </c>
      <c r="I55" s="221">
        <v>1074.63</v>
      </c>
      <c r="J55" s="221">
        <v>4960.69</v>
      </c>
      <c r="K55" s="221"/>
      <c r="L55" s="221">
        <f>C55+D55+G55+I55+J55</f>
        <v>211787.99</v>
      </c>
      <c r="M55" s="221">
        <f>H55+K55</f>
        <v>25846.69</v>
      </c>
      <c r="N55" s="221">
        <f>E55+F55+L55+M55</f>
        <v>1130311.81</v>
      </c>
      <c r="O55" s="221"/>
      <c r="P55" s="223">
        <f>N55+O55</f>
        <v>1130311.81</v>
      </c>
    </row>
    <row r="56" spans="1:16" ht="12.75">
      <c r="A56" s="201"/>
      <c r="B56" s="224" t="s">
        <v>276</v>
      </c>
      <c r="C56" s="219">
        <f aca="true" t="shared" si="9" ref="C56:J56">C55/C54*100</f>
        <v>114.33566506577573</v>
      </c>
      <c r="D56" s="219">
        <f t="shared" si="9"/>
        <v>99.41790733449795</v>
      </c>
      <c r="E56" s="219">
        <f t="shared" si="9"/>
        <v>101.23034055534023</v>
      </c>
      <c r="F56" s="219">
        <f t="shared" si="9"/>
        <v>97.54463044612524</v>
      </c>
      <c r="G56" s="219">
        <f t="shared" si="9"/>
        <v>99.56502937336815</v>
      </c>
      <c r="H56" s="219">
        <f t="shared" si="9"/>
        <v>104.9995531361716</v>
      </c>
      <c r="I56" s="219">
        <f t="shared" si="9"/>
        <v>48.18968609865472</v>
      </c>
      <c r="J56" s="219">
        <f t="shared" si="9"/>
        <v>19.453686274509803</v>
      </c>
      <c r="K56" s="219"/>
      <c r="L56" s="219">
        <f>L55/L54*100</f>
        <v>93.11531477662928</v>
      </c>
      <c r="M56" s="219">
        <f>M55/M54*100</f>
        <v>104.9995531361716</v>
      </c>
      <c r="N56" s="219">
        <f>N55/N54*100</f>
        <v>98.88715364049301</v>
      </c>
      <c r="O56" s="219"/>
      <c r="P56" s="219">
        <f>P55/P54*100</f>
        <v>98.88715364049301</v>
      </c>
    </row>
    <row r="57" spans="1:16" ht="12.75">
      <c r="A57" s="201"/>
      <c r="B57" s="218" t="s">
        <v>286</v>
      </c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5">
        <v>0</v>
      </c>
      <c r="I57" s="225">
        <v>0</v>
      </c>
      <c r="J57" s="225">
        <v>0</v>
      </c>
      <c r="K57" s="225">
        <v>0</v>
      </c>
      <c r="L57" s="225">
        <v>0</v>
      </c>
      <c r="M57" s="225">
        <v>0</v>
      </c>
      <c r="N57" s="225">
        <v>0</v>
      </c>
      <c r="O57" s="225"/>
      <c r="P57" s="225">
        <v>0</v>
      </c>
    </row>
    <row r="58" spans="1:16" ht="12.75">
      <c r="A58" s="201"/>
      <c r="B58" s="220" t="s">
        <v>274</v>
      </c>
      <c r="C58" s="221">
        <v>26439</v>
      </c>
      <c r="D58" s="221">
        <v>199757</v>
      </c>
      <c r="E58" s="221">
        <v>720252</v>
      </c>
      <c r="F58" s="221">
        <v>279039</v>
      </c>
      <c r="G58" s="221">
        <v>25837</v>
      </c>
      <c r="H58" s="221">
        <v>18146</v>
      </c>
      <c r="I58" s="221">
        <v>509</v>
      </c>
      <c r="J58" s="221">
        <v>43000</v>
      </c>
      <c r="K58" s="221">
        <v>30</v>
      </c>
      <c r="L58" s="221">
        <v>295542</v>
      </c>
      <c r="M58" s="221">
        <v>18176</v>
      </c>
      <c r="N58" s="221">
        <v>1313009</v>
      </c>
      <c r="O58" s="221"/>
      <c r="P58" s="221">
        <v>1313009</v>
      </c>
    </row>
    <row r="59" spans="1:16" ht="12.75">
      <c r="A59" s="201"/>
      <c r="B59" s="222" t="s">
        <v>275</v>
      </c>
      <c r="C59" s="221">
        <f>30084.71-82.98+6290.72</f>
        <v>36292.45</v>
      </c>
      <c r="D59" s="221">
        <f>241798.22+162.1</f>
        <v>241960.32</v>
      </c>
      <c r="E59" s="221">
        <v>738888.55</v>
      </c>
      <c r="F59" s="221">
        <v>283158.14</v>
      </c>
      <c r="G59" s="221">
        <f>38220.46+2549.56</f>
        <v>40770.02</v>
      </c>
      <c r="H59" s="221">
        <v>12774.24</v>
      </c>
      <c r="I59" s="221">
        <v>994.13</v>
      </c>
      <c r="J59" s="221">
        <v>5793.97</v>
      </c>
      <c r="K59" s="221"/>
      <c r="L59" s="221">
        <f>C59+D59+G59+I59+J59</f>
        <v>325810.89</v>
      </c>
      <c r="M59" s="221">
        <f>H59+K59</f>
        <v>12774.24</v>
      </c>
      <c r="N59" s="221">
        <f>E59+F59+L59+M59</f>
        <v>1360631.82</v>
      </c>
      <c r="O59" s="221"/>
      <c r="P59" s="223">
        <f>N59+O59</f>
        <v>1360631.82</v>
      </c>
    </row>
    <row r="60" spans="1:16" ht="12.75">
      <c r="A60" s="201"/>
      <c r="B60" s="224" t="s">
        <v>276</v>
      </c>
      <c r="C60" s="219">
        <f aca="true" t="shared" si="10" ref="C60:N60">C59/C58*100</f>
        <v>137.2686183289837</v>
      </c>
      <c r="D60" s="219">
        <f t="shared" si="10"/>
        <v>121.1273297055923</v>
      </c>
      <c r="E60" s="219">
        <f t="shared" si="10"/>
        <v>102.58750409578869</v>
      </c>
      <c r="F60" s="219">
        <f t="shared" si="10"/>
        <v>101.47618791638446</v>
      </c>
      <c r="G60" s="219">
        <f t="shared" si="10"/>
        <v>157.79703525951155</v>
      </c>
      <c r="H60" s="219">
        <f t="shared" si="10"/>
        <v>70.39700209412543</v>
      </c>
      <c r="I60" s="219">
        <f t="shared" si="10"/>
        <v>195.3104125736739</v>
      </c>
      <c r="J60" s="219">
        <f t="shared" si="10"/>
        <v>13.474348837209302</v>
      </c>
      <c r="K60" s="219">
        <f t="shared" si="10"/>
        <v>0</v>
      </c>
      <c r="L60" s="219">
        <f t="shared" si="10"/>
        <v>110.24182349716791</v>
      </c>
      <c r="M60" s="219">
        <f t="shared" si="10"/>
        <v>70.28080985915493</v>
      </c>
      <c r="N60" s="219">
        <f t="shared" si="10"/>
        <v>103.62699874867576</v>
      </c>
      <c r="O60" s="219"/>
      <c r="P60" s="219">
        <f>P59/P58*100</f>
        <v>103.62699874867576</v>
      </c>
    </row>
    <row r="61" spans="1:16" ht="12.75">
      <c r="A61" s="201"/>
      <c r="B61" s="218" t="s">
        <v>287</v>
      </c>
      <c r="C61" s="225">
        <v>0</v>
      </c>
      <c r="D61" s="225">
        <v>0</v>
      </c>
      <c r="E61" s="225">
        <v>0</v>
      </c>
      <c r="F61" s="225">
        <v>0</v>
      </c>
      <c r="G61" s="225">
        <v>0</v>
      </c>
      <c r="H61" s="225">
        <v>0</v>
      </c>
      <c r="I61" s="225">
        <v>0</v>
      </c>
      <c r="J61" s="225">
        <v>0</v>
      </c>
      <c r="K61" s="225">
        <v>0</v>
      </c>
      <c r="L61" s="225">
        <v>0</v>
      </c>
      <c r="M61" s="225">
        <v>0</v>
      </c>
      <c r="N61" s="225">
        <v>0</v>
      </c>
      <c r="O61" s="225"/>
      <c r="P61" s="225">
        <v>0</v>
      </c>
    </row>
    <row r="62" spans="1:16" ht="12.75">
      <c r="A62" s="201"/>
      <c r="B62" s="220" t="s">
        <v>274</v>
      </c>
      <c r="C62" s="221">
        <v>55748</v>
      </c>
      <c r="D62" s="221">
        <v>135607</v>
      </c>
      <c r="E62" s="221">
        <v>749507</v>
      </c>
      <c r="F62" s="221">
        <v>295661</v>
      </c>
      <c r="G62" s="221">
        <v>37735</v>
      </c>
      <c r="H62" s="221">
        <v>33096</v>
      </c>
      <c r="I62" s="221">
        <v>2738</v>
      </c>
      <c r="J62" s="221">
        <v>31211</v>
      </c>
      <c r="K62" s="221">
        <v>30</v>
      </c>
      <c r="L62" s="221">
        <v>263039</v>
      </c>
      <c r="M62" s="221">
        <v>33126</v>
      </c>
      <c r="N62" s="221">
        <v>1341333</v>
      </c>
      <c r="O62" s="221"/>
      <c r="P62" s="221">
        <v>1341333</v>
      </c>
    </row>
    <row r="63" spans="1:16" ht="12.75">
      <c r="A63" s="201"/>
      <c r="B63" s="222" t="s">
        <v>275</v>
      </c>
      <c r="C63" s="221">
        <f>55066.32+3.33+3997.44</f>
        <v>59067.090000000004</v>
      </c>
      <c r="D63" s="221">
        <f>130023.68</f>
        <v>130023.68</v>
      </c>
      <c r="E63" s="221">
        <v>744346.51</v>
      </c>
      <c r="F63" s="221">
        <v>281477.7</v>
      </c>
      <c r="G63" s="221">
        <f>39672.13+1610.24</f>
        <v>41282.369999999995</v>
      </c>
      <c r="H63" s="221">
        <v>15215.93</v>
      </c>
      <c r="I63" s="221">
        <v>2469.7</v>
      </c>
      <c r="J63" s="221">
        <v>10408.39</v>
      </c>
      <c r="K63" s="221">
        <v>1.7</v>
      </c>
      <c r="L63" s="221">
        <f>C63+D63+G63+I63+J63</f>
        <v>243251.22999999998</v>
      </c>
      <c r="M63" s="221">
        <f>H63+K63</f>
        <v>15217.630000000001</v>
      </c>
      <c r="N63" s="221">
        <f>E63+F63+L63+M63</f>
        <v>1284293.0699999998</v>
      </c>
      <c r="O63" s="221"/>
      <c r="P63" s="223">
        <f>N63+O63</f>
        <v>1284293.0699999998</v>
      </c>
    </row>
    <row r="64" spans="1:16" ht="12.75">
      <c r="A64" s="201"/>
      <c r="B64" s="224" t="s">
        <v>276</v>
      </c>
      <c r="C64" s="219">
        <f aca="true" t="shared" si="11" ref="C64:N64">C63/C62*100</f>
        <v>105.95373825069959</v>
      </c>
      <c r="D64" s="219">
        <f t="shared" si="11"/>
        <v>95.88271991858826</v>
      </c>
      <c r="E64" s="219">
        <f t="shared" si="11"/>
        <v>99.31148208088784</v>
      </c>
      <c r="F64" s="219">
        <f t="shared" si="11"/>
        <v>95.20285056196117</v>
      </c>
      <c r="G64" s="219">
        <f t="shared" si="11"/>
        <v>109.40074201669536</v>
      </c>
      <c r="H64" s="219">
        <f t="shared" si="11"/>
        <v>45.97513294657965</v>
      </c>
      <c r="I64" s="219">
        <f t="shared" si="11"/>
        <v>90.2008765522279</v>
      </c>
      <c r="J64" s="219">
        <f t="shared" si="11"/>
        <v>33.348466886674565</v>
      </c>
      <c r="K64" s="219">
        <f t="shared" si="11"/>
        <v>5.666666666666666</v>
      </c>
      <c r="L64" s="219">
        <f t="shared" si="11"/>
        <v>92.47724862092693</v>
      </c>
      <c r="M64" s="219">
        <f t="shared" si="11"/>
        <v>45.938628267825884</v>
      </c>
      <c r="N64" s="219">
        <f t="shared" si="11"/>
        <v>95.74751907244509</v>
      </c>
      <c r="O64" s="219"/>
      <c r="P64" s="219">
        <f>P63/P62*100</f>
        <v>95.74751907244509</v>
      </c>
    </row>
    <row r="65" spans="1:16" ht="12.75">
      <c r="A65" s="201"/>
      <c r="B65" s="218" t="s">
        <v>288</v>
      </c>
      <c r="C65" s="225">
        <v>0</v>
      </c>
      <c r="D65" s="225">
        <v>0</v>
      </c>
      <c r="E65" s="225">
        <v>0</v>
      </c>
      <c r="F65" s="225">
        <v>0</v>
      </c>
      <c r="G65" s="225">
        <v>0</v>
      </c>
      <c r="H65" s="225">
        <v>0</v>
      </c>
      <c r="I65" s="225">
        <v>0</v>
      </c>
      <c r="J65" s="225">
        <v>0</v>
      </c>
      <c r="K65" s="225">
        <v>0</v>
      </c>
      <c r="L65" s="225">
        <v>0</v>
      </c>
      <c r="M65" s="225">
        <v>0</v>
      </c>
      <c r="N65" s="225">
        <v>0</v>
      </c>
      <c r="O65" s="225"/>
      <c r="P65" s="225">
        <v>0</v>
      </c>
    </row>
    <row r="66" spans="1:16" ht="12.75">
      <c r="A66" s="201"/>
      <c r="B66" s="220" t="s">
        <v>274</v>
      </c>
      <c r="C66" s="221">
        <v>82312</v>
      </c>
      <c r="D66" s="221">
        <v>171221</v>
      </c>
      <c r="E66" s="221">
        <v>900151</v>
      </c>
      <c r="F66" s="221">
        <v>350062</v>
      </c>
      <c r="G66" s="221">
        <v>51761</v>
      </c>
      <c r="H66" s="221">
        <v>26246</v>
      </c>
      <c r="I66" s="221">
        <v>4303</v>
      </c>
      <c r="J66" s="221">
        <v>60470</v>
      </c>
      <c r="K66" s="221"/>
      <c r="L66" s="221">
        <v>370067</v>
      </c>
      <c r="M66" s="221">
        <v>26246</v>
      </c>
      <c r="N66" s="221">
        <v>1646526</v>
      </c>
      <c r="O66" s="221"/>
      <c r="P66" s="221">
        <v>1646526</v>
      </c>
    </row>
    <row r="67" spans="1:16" ht="12.75">
      <c r="A67" s="201"/>
      <c r="B67" s="222" t="s">
        <v>275</v>
      </c>
      <c r="C67" s="221">
        <f>70492.13+2.88+2321.23</f>
        <v>72816.24</v>
      </c>
      <c r="D67" s="221">
        <f>172619.16+1021.4</f>
        <v>173640.56</v>
      </c>
      <c r="E67" s="221">
        <v>923753.79</v>
      </c>
      <c r="F67" s="221">
        <v>348465.46</v>
      </c>
      <c r="G67" s="221">
        <f>45434.05+2883.11</f>
        <v>48317.16</v>
      </c>
      <c r="H67" s="221">
        <v>20325.23</v>
      </c>
      <c r="I67" s="221">
        <v>4725.12</v>
      </c>
      <c r="J67" s="221">
        <v>19148.46</v>
      </c>
      <c r="K67" s="221"/>
      <c r="L67" s="221">
        <f>C67+D67+G67+I67+J67</f>
        <v>318647.54</v>
      </c>
      <c r="M67" s="221">
        <f>H67+K67</f>
        <v>20325.23</v>
      </c>
      <c r="N67" s="221">
        <f>E67+F67+L67+M67</f>
        <v>1611192.02</v>
      </c>
      <c r="O67" s="221"/>
      <c r="P67" s="223">
        <f>N67+O67</f>
        <v>1611192.02</v>
      </c>
    </row>
    <row r="68" spans="1:16" ht="12.75">
      <c r="A68" s="201"/>
      <c r="B68" s="224" t="s">
        <v>276</v>
      </c>
      <c r="C68" s="219">
        <f aca="true" t="shared" si="12" ref="C68:J68">C67/C66*100</f>
        <v>88.46369909612208</v>
      </c>
      <c r="D68" s="219">
        <f t="shared" si="12"/>
        <v>101.41312105407631</v>
      </c>
      <c r="E68" s="219">
        <f t="shared" si="12"/>
        <v>102.62209229340411</v>
      </c>
      <c r="F68" s="219">
        <f t="shared" si="12"/>
        <v>99.54392650444778</v>
      </c>
      <c r="G68" s="219">
        <f t="shared" si="12"/>
        <v>93.34665095342054</v>
      </c>
      <c r="H68" s="219">
        <f t="shared" si="12"/>
        <v>77.44124819020041</v>
      </c>
      <c r="I68" s="219">
        <f t="shared" si="12"/>
        <v>109.80990006971881</v>
      </c>
      <c r="J68" s="219">
        <f t="shared" si="12"/>
        <v>31.666049280635022</v>
      </c>
      <c r="K68" s="219"/>
      <c r="L68" s="219">
        <f>L67/L66*100</f>
        <v>86.10536470422923</v>
      </c>
      <c r="M68" s="219">
        <f>M67/M66*100</f>
        <v>77.44124819020041</v>
      </c>
      <c r="N68" s="219">
        <f>N67/N66*100</f>
        <v>97.85402842105135</v>
      </c>
      <c r="O68" s="219"/>
      <c r="P68" s="219">
        <f>P67/P66*100</f>
        <v>97.85402842105135</v>
      </c>
    </row>
    <row r="69" spans="1:16" ht="12.75">
      <c r="A69" s="201"/>
      <c r="B69" s="218" t="s">
        <v>289</v>
      </c>
      <c r="C69" s="225">
        <v>0</v>
      </c>
      <c r="D69" s="225">
        <v>0</v>
      </c>
      <c r="E69" s="225">
        <v>0</v>
      </c>
      <c r="F69" s="225">
        <v>0</v>
      </c>
      <c r="G69" s="225">
        <v>0</v>
      </c>
      <c r="H69" s="225">
        <v>0</v>
      </c>
      <c r="I69" s="225">
        <v>0</v>
      </c>
      <c r="J69" s="225">
        <v>0</v>
      </c>
      <c r="K69" s="225">
        <v>0</v>
      </c>
      <c r="L69" s="225">
        <v>0</v>
      </c>
      <c r="M69" s="225">
        <v>0</v>
      </c>
      <c r="N69" s="225">
        <v>0</v>
      </c>
      <c r="O69" s="225"/>
      <c r="P69" s="225">
        <v>0</v>
      </c>
    </row>
    <row r="70" spans="1:16" ht="12.75">
      <c r="A70" s="201"/>
      <c r="B70" s="220" t="s">
        <v>274</v>
      </c>
      <c r="C70" s="221">
        <v>85673</v>
      </c>
      <c r="D70" s="221">
        <v>230391</v>
      </c>
      <c r="E70" s="221">
        <v>1221738</v>
      </c>
      <c r="F70" s="221">
        <v>471327</v>
      </c>
      <c r="G70" s="221">
        <v>73786</v>
      </c>
      <c r="H70" s="221">
        <v>25899</v>
      </c>
      <c r="I70" s="221">
        <v>23729</v>
      </c>
      <c r="J70" s="221">
        <v>75000</v>
      </c>
      <c r="K70" s="221">
        <v>940</v>
      </c>
      <c r="L70" s="221">
        <v>488579</v>
      </c>
      <c r="M70" s="221">
        <v>26839</v>
      </c>
      <c r="N70" s="221">
        <v>2208483</v>
      </c>
      <c r="O70" s="221"/>
      <c r="P70" s="221">
        <v>2208483</v>
      </c>
    </row>
    <row r="71" spans="1:16" ht="12.75">
      <c r="A71" s="201"/>
      <c r="B71" s="222" t="s">
        <v>275</v>
      </c>
      <c r="C71" s="221">
        <f>94248+26.74+6217.73</f>
        <v>100492.47</v>
      </c>
      <c r="D71" s="221">
        <f>234491.44+1965.55</f>
        <v>236456.99</v>
      </c>
      <c r="E71" s="221">
        <v>1215368.85</v>
      </c>
      <c r="F71" s="221">
        <v>456820.26</v>
      </c>
      <c r="G71" s="221">
        <f>68951.04+2811.32</f>
        <v>71762.36</v>
      </c>
      <c r="H71" s="221">
        <v>11401.69</v>
      </c>
      <c r="I71" s="221">
        <v>29563.75</v>
      </c>
      <c r="J71" s="221">
        <v>27602.3</v>
      </c>
      <c r="K71" s="221">
        <v>777.06</v>
      </c>
      <c r="L71" s="221">
        <f>C71+D71+G71+I71+J71</f>
        <v>465877.86999999994</v>
      </c>
      <c r="M71" s="221">
        <f>H71+K71</f>
        <v>12178.75</v>
      </c>
      <c r="N71" s="221">
        <f>E71+F71+L71+M71</f>
        <v>2150245.73</v>
      </c>
      <c r="O71" s="221"/>
      <c r="P71" s="223">
        <f>N71+O71</f>
        <v>2150245.73</v>
      </c>
    </row>
    <row r="72" spans="1:16" ht="12.75">
      <c r="A72" s="201"/>
      <c r="B72" s="224" t="s">
        <v>276</v>
      </c>
      <c r="C72" s="219">
        <f aca="true" t="shared" si="13" ref="C72:N72">C71/C70*100</f>
        <v>117.29771339862035</v>
      </c>
      <c r="D72" s="219">
        <f t="shared" si="13"/>
        <v>102.63291100780847</v>
      </c>
      <c r="E72" s="219">
        <f t="shared" si="13"/>
        <v>99.47868119023883</v>
      </c>
      <c r="F72" s="219">
        <f t="shared" si="13"/>
        <v>96.92214959041175</v>
      </c>
      <c r="G72" s="219">
        <f t="shared" si="13"/>
        <v>97.25742010679532</v>
      </c>
      <c r="H72" s="219">
        <f t="shared" si="13"/>
        <v>44.023668867523845</v>
      </c>
      <c r="I72" s="219">
        <f t="shared" si="13"/>
        <v>124.58911037127565</v>
      </c>
      <c r="J72" s="219">
        <f t="shared" si="13"/>
        <v>36.803066666666666</v>
      </c>
      <c r="K72" s="219">
        <f t="shared" si="13"/>
        <v>82.6659574468085</v>
      </c>
      <c r="L72" s="219">
        <f t="shared" si="13"/>
        <v>95.35364188800581</v>
      </c>
      <c r="M72" s="219">
        <f t="shared" si="13"/>
        <v>45.377063228883344</v>
      </c>
      <c r="N72" s="219">
        <f t="shared" si="13"/>
        <v>97.36301932140749</v>
      </c>
      <c r="O72" s="219"/>
      <c r="P72" s="219">
        <f>P71/P70*100</f>
        <v>97.36301932140749</v>
      </c>
    </row>
    <row r="73" spans="1:16" ht="12.75">
      <c r="A73" s="201"/>
      <c r="B73" s="218" t="s">
        <v>290</v>
      </c>
      <c r="C73" s="225">
        <v>0</v>
      </c>
      <c r="D73" s="225">
        <v>0</v>
      </c>
      <c r="E73" s="225">
        <v>0</v>
      </c>
      <c r="F73" s="225">
        <v>0</v>
      </c>
      <c r="G73" s="225">
        <v>0</v>
      </c>
      <c r="H73" s="225">
        <v>0</v>
      </c>
      <c r="I73" s="225">
        <v>0</v>
      </c>
      <c r="J73" s="225">
        <v>0</v>
      </c>
      <c r="K73" s="225">
        <v>0</v>
      </c>
      <c r="L73" s="225">
        <v>0</v>
      </c>
      <c r="M73" s="225">
        <v>0</v>
      </c>
      <c r="N73" s="225">
        <v>0</v>
      </c>
      <c r="O73" s="225"/>
      <c r="P73" s="225">
        <v>0</v>
      </c>
    </row>
    <row r="74" spans="1:16" ht="12.75">
      <c r="A74" s="201"/>
      <c r="B74" s="220" t="s">
        <v>274</v>
      </c>
      <c r="C74" s="221">
        <v>48502</v>
      </c>
      <c r="D74" s="221">
        <v>167241</v>
      </c>
      <c r="E74" s="221">
        <v>772586</v>
      </c>
      <c r="F74" s="221">
        <v>298912</v>
      </c>
      <c r="G74" s="221">
        <v>43834</v>
      </c>
      <c r="H74" s="221">
        <v>18422</v>
      </c>
      <c r="I74" s="221">
        <v>2918</v>
      </c>
      <c r="J74" s="221">
        <v>46939</v>
      </c>
      <c r="K74" s="221">
        <v>450</v>
      </c>
      <c r="L74" s="221">
        <v>309434</v>
      </c>
      <c r="M74" s="221">
        <v>18872</v>
      </c>
      <c r="N74" s="221">
        <v>1399804</v>
      </c>
      <c r="O74" s="221"/>
      <c r="P74" s="221">
        <v>1399804</v>
      </c>
    </row>
    <row r="75" spans="1:16" ht="12.75">
      <c r="A75" s="201"/>
      <c r="B75" s="222" t="s">
        <v>275</v>
      </c>
      <c r="C75" s="221">
        <f>51903.2+4.13+4398.53</f>
        <v>56305.85999999999</v>
      </c>
      <c r="D75" s="221">
        <f>186791.33+309.8</f>
        <v>187101.12999999998</v>
      </c>
      <c r="E75" s="221">
        <v>787780.08</v>
      </c>
      <c r="F75" s="221">
        <v>301166.45</v>
      </c>
      <c r="G75" s="221">
        <f>40422.02+2437.49</f>
        <v>42859.509999999995</v>
      </c>
      <c r="H75" s="221">
        <v>18065.65</v>
      </c>
      <c r="I75" s="221">
        <v>1498.6</v>
      </c>
      <c r="J75" s="221">
        <v>13153.06</v>
      </c>
      <c r="K75" s="221">
        <v>297.8</v>
      </c>
      <c r="L75" s="221">
        <f>C75+D75+G75+I75+J75</f>
        <v>300918.1599999999</v>
      </c>
      <c r="M75" s="221">
        <f>H75+K75</f>
        <v>18363.45</v>
      </c>
      <c r="N75" s="221">
        <f>E75+F75+L75+M75</f>
        <v>1408228.14</v>
      </c>
      <c r="O75" s="221"/>
      <c r="P75" s="223">
        <f>N75+O75</f>
        <v>1408228.14</v>
      </c>
    </row>
    <row r="76" spans="1:16" ht="12.75">
      <c r="A76" s="201"/>
      <c r="B76" s="224" t="s">
        <v>276</v>
      </c>
      <c r="C76" s="219">
        <f aca="true" t="shared" si="14" ref="C76:N76">C75/C74*100</f>
        <v>116.08976949404146</v>
      </c>
      <c r="D76" s="219">
        <f t="shared" si="14"/>
        <v>111.87515621169449</v>
      </c>
      <c r="E76" s="219">
        <f t="shared" si="14"/>
        <v>101.96665225618895</v>
      </c>
      <c r="F76" s="219">
        <f t="shared" si="14"/>
        <v>100.75421863290867</v>
      </c>
      <c r="G76" s="219">
        <f t="shared" si="14"/>
        <v>97.7768627093124</v>
      </c>
      <c r="H76" s="219">
        <f t="shared" si="14"/>
        <v>98.0656280534144</v>
      </c>
      <c r="I76" s="219">
        <f t="shared" si="14"/>
        <v>51.35709389993146</v>
      </c>
      <c r="J76" s="219">
        <f t="shared" si="14"/>
        <v>28.021602505379324</v>
      </c>
      <c r="K76" s="219">
        <f t="shared" si="14"/>
        <v>66.17777777777778</v>
      </c>
      <c r="L76" s="219">
        <f t="shared" si="14"/>
        <v>97.24793009171582</v>
      </c>
      <c r="M76" s="219">
        <f t="shared" si="14"/>
        <v>97.30526706231456</v>
      </c>
      <c r="N76" s="219">
        <f t="shared" si="14"/>
        <v>100.60180853890972</v>
      </c>
      <c r="O76" s="219"/>
      <c r="P76" s="219">
        <f>P75/P74*100</f>
        <v>100.60180853890972</v>
      </c>
    </row>
    <row r="77" spans="1:16" ht="12.75">
      <c r="A77" s="201"/>
      <c r="B77" s="218" t="s">
        <v>291</v>
      </c>
      <c r="C77" s="225">
        <v>0</v>
      </c>
      <c r="D77" s="225">
        <v>0</v>
      </c>
      <c r="E77" s="225">
        <v>0</v>
      </c>
      <c r="F77" s="225">
        <v>0</v>
      </c>
      <c r="G77" s="225">
        <v>0</v>
      </c>
      <c r="H77" s="225">
        <v>0</v>
      </c>
      <c r="I77" s="225">
        <v>0</v>
      </c>
      <c r="J77" s="225">
        <v>0</v>
      </c>
      <c r="K77" s="225">
        <v>0</v>
      </c>
      <c r="L77" s="225">
        <v>0</v>
      </c>
      <c r="M77" s="225">
        <v>0</v>
      </c>
      <c r="N77" s="225">
        <v>0</v>
      </c>
      <c r="O77" s="225"/>
      <c r="P77" s="225">
        <v>0</v>
      </c>
    </row>
    <row r="78" spans="1:16" ht="12.75">
      <c r="A78" s="201"/>
      <c r="B78" s="220" t="s">
        <v>274</v>
      </c>
      <c r="C78" s="221">
        <v>37307</v>
      </c>
      <c r="D78" s="221">
        <v>166067</v>
      </c>
      <c r="E78" s="221">
        <v>774634</v>
      </c>
      <c r="F78" s="221">
        <v>302440</v>
      </c>
      <c r="G78" s="221">
        <v>39009</v>
      </c>
      <c r="H78" s="221">
        <v>25616</v>
      </c>
      <c r="I78" s="221">
        <v>11202</v>
      </c>
      <c r="J78" s="221">
        <v>42063</v>
      </c>
      <c r="K78" s="221">
        <v>100</v>
      </c>
      <c r="L78" s="221">
        <v>295648</v>
      </c>
      <c r="M78" s="221">
        <v>25716</v>
      </c>
      <c r="N78" s="221">
        <v>1398438</v>
      </c>
      <c r="O78" s="221"/>
      <c r="P78" s="221">
        <v>1398438</v>
      </c>
    </row>
    <row r="79" spans="1:16" ht="12.75">
      <c r="A79" s="201"/>
      <c r="B79" s="222" t="s">
        <v>275</v>
      </c>
      <c r="C79" s="221">
        <f>46281.23+10.51+6202.78</f>
        <v>52494.520000000004</v>
      </c>
      <c r="D79" s="221">
        <f>191454.2+672.94</f>
        <v>192127.14</v>
      </c>
      <c r="E79" s="221">
        <v>791817.2</v>
      </c>
      <c r="F79" s="221">
        <v>297942.17</v>
      </c>
      <c r="G79" s="221">
        <f>40638.94+3944.8</f>
        <v>44583.740000000005</v>
      </c>
      <c r="H79" s="221">
        <v>29010.98</v>
      </c>
      <c r="I79" s="221">
        <v>1780.86</v>
      </c>
      <c r="J79" s="221">
        <v>16397.11</v>
      </c>
      <c r="K79" s="221">
        <v>257.4</v>
      </c>
      <c r="L79" s="221">
        <f>C79+D79+G79+I79+J79</f>
        <v>307383.37</v>
      </c>
      <c r="M79" s="221">
        <f>H79+K79</f>
        <v>29268.38</v>
      </c>
      <c r="N79" s="221">
        <f>E79+F79+L79+M79</f>
        <v>1426411.1199999996</v>
      </c>
      <c r="O79" s="221"/>
      <c r="P79" s="223">
        <f>N79+O79</f>
        <v>1426411.1199999996</v>
      </c>
    </row>
    <row r="80" spans="1:16" ht="12.75">
      <c r="A80" s="201"/>
      <c r="B80" s="224" t="s">
        <v>276</v>
      </c>
      <c r="C80" s="219">
        <f aca="true" t="shared" si="15" ref="C80:N80">C79/C78*100</f>
        <v>140.70957193020078</v>
      </c>
      <c r="D80" s="219">
        <f t="shared" si="15"/>
        <v>115.69254577971542</v>
      </c>
      <c r="E80" s="219">
        <f t="shared" si="15"/>
        <v>102.21823467598892</v>
      </c>
      <c r="F80" s="219">
        <f t="shared" si="15"/>
        <v>98.51281907155138</v>
      </c>
      <c r="G80" s="219">
        <f t="shared" si="15"/>
        <v>114.29090722653747</v>
      </c>
      <c r="H80" s="219">
        <f t="shared" si="15"/>
        <v>113.25335727670205</v>
      </c>
      <c r="I80" s="219">
        <f t="shared" si="15"/>
        <v>15.897696839850026</v>
      </c>
      <c r="J80" s="219">
        <f t="shared" si="15"/>
        <v>38.98226469819081</v>
      </c>
      <c r="K80" s="219">
        <f t="shared" si="15"/>
        <v>257.4</v>
      </c>
      <c r="L80" s="219">
        <f t="shared" si="15"/>
        <v>103.96937236172745</v>
      </c>
      <c r="M80" s="219">
        <f t="shared" si="15"/>
        <v>113.81389018509877</v>
      </c>
      <c r="N80" s="219">
        <f t="shared" si="15"/>
        <v>102.00031177642481</v>
      </c>
      <c r="O80" s="219"/>
      <c r="P80" s="219">
        <f>P79/P78*100</f>
        <v>102.00031177642481</v>
      </c>
    </row>
    <row r="81" spans="1:16" ht="12.75">
      <c r="A81" s="201"/>
      <c r="B81" s="218" t="s">
        <v>292</v>
      </c>
      <c r="C81" s="225">
        <v>0</v>
      </c>
      <c r="D81" s="225">
        <v>0</v>
      </c>
      <c r="E81" s="225">
        <v>0</v>
      </c>
      <c r="F81" s="225">
        <v>0</v>
      </c>
      <c r="G81" s="225">
        <v>0</v>
      </c>
      <c r="H81" s="225">
        <v>0</v>
      </c>
      <c r="I81" s="225">
        <v>0</v>
      </c>
      <c r="J81" s="225">
        <v>0</v>
      </c>
      <c r="K81" s="225">
        <v>0</v>
      </c>
      <c r="L81" s="225">
        <v>0</v>
      </c>
      <c r="M81" s="225">
        <v>0</v>
      </c>
      <c r="N81" s="225">
        <v>0</v>
      </c>
      <c r="O81" s="225"/>
      <c r="P81" s="225">
        <v>0</v>
      </c>
    </row>
    <row r="82" spans="1:16" ht="12.75">
      <c r="A82" s="201"/>
      <c r="B82" s="220" t="s">
        <v>274</v>
      </c>
      <c r="C82" s="221">
        <v>41510</v>
      </c>
      <c r="D82" s="221">
        <v>184195</v>
      </c>
      <c r="E82" s="221">
        <v>786120</v>
      </c>
      <c r="F82" s="221">
        <v>304059</v>
      </c>
      <c r="G82" s="221">
        <v>46158</v>
      </c>
      <c r="H82" s="221">
        <v>18375</v>
      </c>
      <c r="I82" s="221">
        <v>2600</v>
      </c>
      <c r="J82" s="221">
        <v>42200</v>
      </c>
      <c r="K82" s="221">
        <v>300</v>
      </c>
      <c r="L82" s="221">
        <v>316663</v>
      </c>
      <c r="M82" s="221">
        <v>18675</v>
      </c>
      <c r="N82" s="221">
        <v>1425517</v>
      </c>
      <c r="O82" s="221"/>
      <c r="P82" s="221">
        <v>1425517</v>
      </c>
    </row>
    <row r="83" spans="1:16" ht="12.75">
      <c r="A83" s="201"/>
      <c r="B83" s="222" t="s">
        <v>275</v>
      </c>
      <c r="C83" s="221">
        <f>44612.57-134.94</f>
        <v>44477.63</v>
      </c>
      <c r="D83" s="221">
        <f>177577.1+291.71</f>
        <v>177868.81</v>
      </c>
      <c r="E83" s="221">
        <v>807016.65</v>
      </c>
      <c r="F83" s="221">
        <v>306020.08</v>
      </c>
      <c r="G83" s="221">
        <f>42218.05+1183.72</f>
        <v>43401.770000000004</v>
      </c>
      <c r="H83" s="221">
        <v>18052.9</v>
      </c>
      <c r="I83" s="221">
        <v>4212.44</v>
      </c>
      <c r="J83" s="221">
        <v>13493.28</v>
      </c>
      <c r="K83" s="221">
        <v>264</v>
      </c>
      <c r="L83" s="221">
        <f>C83+D83+G83+I83+J83</f>
        <v>283453.93000000005</v>
      </c>
      <c r="M83" s="221">
        <f>H83+K83</f>
        <v>18316.9</v>
      </c>
      <c r="N83" s="221">
        <f>E83+F83+L83+M83</f>
        <v>1414807.56</v>
      </c>
      <c r="O83" s="221"/>
      <c r="P83" s="223">
        <f>N83+O83</f>
        <v>1414807.56</v>
      </c>
    </row>
    <row r="84" spans="1:16" ht="12.75">
      <c r="A84" s="201"/>
      <c r="B84" s="224" t="s">
        <v>276</v>
      </c>
      <c r="C84" s="219">
        <f aca="true" t="shared" si="16" ref="C84:N84">C83/C82*100</f>
        <v>107.14919296555045</v>
      </c>
      <c r="D84" s="219">
        <f t="shared" si="16"/>
        <v>96.56549309156057</v>
      </c>
      <c r="E84" s="219">
        <f t="shared" si="16"/>
        <v>102.65820103800947</v>
      </c>
      <c r="F84" s="219">
        <f t="shared" si="16"/>
        <v>100.64496693076015</v>
      </c>
      <c r="G84" s="219">
        <f t="shared" si="16"/>
        <v>94.02870574981586</v>
      </c>
      <c r="H84" s="219">
        <f t="shared" si="16"/>
        <v>98.24707482993198</v>
      </c>
      <c r="I84" s="219">
        <f t="shared" si="16"/>
        <v>162.01692307692306</v>
      </c>
      <c r="J84" s="219">
        <f t="shared" si="16"/>
        <v>31.974597156398104</v>
      </c>
      <c r="K84" s="219">
        <f t="shared" si="16"/>
        <v>88</v>
      </c>
      <c r="L84" s="219">
        <f t="shared" si="16"/>
        <v>89.51280383246545</v>
      </c>
      <c r="M84" s="219">
        <f t="shared" si="16"/>
        <v>98.08246318607765</v>
      </c>
      <c r="N84" s="219">
        <f t="shared" si="16"/>
        <v>99.24873291584738</v>
      </c>
      <c r="O84" s="219"/>
      <c r="P84" s="219">
        <f>P83/P82*100</f>
        <v>99.24873291584738</v>
      </c>
    </row>
    <row r="85" spans="1:16" ht="12.75">
      <c r="A85" s="201"/>
      <c r="B85" s="218" t="s">
        <v>293</v>
      </c>
      <c r="C85" s="225">
        <v>0</v>
      </c>
      <c r="D85" s="225">
        <v>0</v>
      </c>
      <c r="E85" s="225">
        <v>0</v>
      </c>
      <c r="F85" s="225">
        <v>0</v>
      </c>
      <c r="G85" s="225">
        <v>0</v>
      </c>
      <c r="H85" s="225">
        <v>0</v>
      </c>
      <c r="I85" s="225">
        <v>0</v>
      </c>
      <c r="J85" s="225">
        <v>0</v>
      </c>
      <c r="K85" s="225">
        <v>0</v>
      </c>
      <c r="L85" s="225">
        <v>0</v>
      </c>
      <c r="M85" s="225">
        <v>0</v>
      </c>
      <c r="N85" s="225">
        <v>0</v>
      </c>
      <c r="O85" s="225"/>
      <c r="P85" s="225">
        <v>0</v>
      </c>
    </row>
    <row r="86" spans="1:16" ht="12.75">
      <c r="A86" s="201"/>
      <c r="B86" s="220" t="s">
        <v>274</v>
      </c>
      <c r="C86" s="221">
        <v>45060</v>
      </c>
      <c r="D86" s="221">
        <v>120073</v>
      </c>
      <c r="E86" s="221">
        <v>714693</v>
      </c>
      <c r="F86" s="221">
        <v>283998</v>
      </c>
      <c r="G86" s="221">
        <v>41235</v>
      </c>
      <c r="H86" s="221">
        <v>36722</v>
      </c>
      <c r="I86" s="221">
        <v>3870</v>
      </c>
      <c r="J86" s="221">
        <v>39100</v>
      </c>
      <c r="K86" s="221">
        <v>560</v>
      </c>
      <c r="L86" s="221">
        <v>249338</v>
      </c>
      <c r="M86" s="221">
        <v>37282</v>
      </c>
      <c r="N86" s="221">
        <v>1285311</v>
      </c>
      <c r="O86" s="221"/>
      <c r="P86" s="221">
        <v>1285311</v>
      </c>
    </row>
    <row r="87" spans="1:16" ht="12.75">
      <c r="A87" s="201"/>
      <c r="B87" s="222" t="s">
        <v>275</v>
      </c>
      <c r="C87" s="221">
        <f>46860.3+2.88</f>
        <v>46863.18</v>
      </c>
      <c r="D87" s="221">
        <f>118776.62+794.39</f>
        <v>119571.01</v>
      </c>
      <c r="E87" s="221">
        <v>734259.67</v>
      </c>
      <c r="F87" s="221">
        <v>278260.24</v>
      </c>
      <c r="G87" s="221">
        <f>37998.65+1876.2</f>
        <v>39874.85</v>
      </c>
      <c r="H87" s="221">
        <v>25405.99</v>
      </c>
      <c r="I87" s="221">
        <v>4840.31</v>
      </c>
      <c r="J87" s="221">
        <v>12678.88</v>
      </c>
      <c r="K87" s="221">
        <v>532.26</v>
      </c>
      <c r="L87" s="221">
        <f>C87+D87+G87+I87+J87</f>
        <v>223828.23</v>
      </c>
      <c r="M87" s="221">
        <f>H87+K87</f>
        <v>25938.25</v>
      </c>
      <c r="N87" s="221">
        <f>E87+F87+L87+M87</f>
        <v>1262286.3900000001</v>
      </c>
      <c r="O87" s="221"/>
      <c r="P87" s="223">
        <f>N87+O87</f>
        <v>1262286.3900000001</v>
      </c>
    </row>
    <row r="88" spans="1:16" ht="12.75">
      <c r="A88" s="201"/>
      <c r="B88" s="224" t="s">
        <v>276</v>
      </c>
      <c r="C88" s="219">
        <f aca="true" t="shared" si="17" ref="C88:N88">C87/C86*100</f>
        <v>104.00173102529959</v>
      </c>
      <c r="D88" s="219">
        <f t="shared" si="17"/>
        <v>99.58192932632647</v>
      </c>
      <c r="E88" s="219">
        <f t="shared" si="17"/>
        <v>102.73777272199392</v>
      </c>
      <c r="F88" s="219">
        <f t="shared" si="17"/>
        <v>97.9796477439982</v>
      </c>
      <c r="G88" s="219">
        <f t="shared" si="17"/>
        <v>96.701467200194</v>
      </c>
      <c r="H88" s="219">
        <f t="shared" si="17"/>
        <v>69.18465769838245</v>
      </c>
      <c r="I88" s="219">
        <f t="shared" si="17"/>
        <v>125.07260981912145</v>
      </c>
      <c r="J88" s="219">
        <f t="shared" si="17"/>
        <v>32.426803069053705</v>
      </c>
      <c r="K88" s="219">
        <f t="shared" si="17"/>
        <v>95.04642857142856</v>
      </c>
      <c r="L88" s="219">
        <f t="shared" si="17"/>
        <v>89.76900031282837</v>
      </c>
      <c r="M88" s="219">
        <f t="shared" si="17"/>
        <v>69.57311839493589</v>
      </c>
      <c r="N88" s="219">
        <f t="shared" si="17"/>
        <v>98.20863510854572</v>
      </c>
      <c r="O88" s="219"/>
      <c r="P88" s="219">
        <f>P87/P86*100</f>
        <v>98.20863510854572</v>
      </c>
    </row>
    <row r="89" spans="1:16" ht="12.75">
      <c r="A89" s="201"/>
      <c r="B89" s="218" t="s">
        <v>294</v>
      </c>
      <c r="C89" s="225">
        <v>0</v>
      </c>
      <c r="D89" s="225">
        <v>0</v>
      </c>
      <c r="E89" s="225">
        <v>0</v>
      </c>
      <c r="F89" s="225">
        <v>0</v>
      </c>
      <c r="G89" s="225">
        <v>0</v>
      </c>
      <c r="H89" s="225">
        <v>0</v>
      </c>
      <c r="I89" s="225">
        <v>0</v>
      </c>
      <c r="J89" s="225">
        <v>0</v>
      </c>
      <c r="K89" s="225">
        <v>0</v>
      </c>
      <c r="L89" s="225">
        <v>0</v>
      </c>
      <c r="M89" s="225">
        <v>0</v>
      </c>
      <c r="N89" s="225">
        <v>0</v>
      </c>
      <c r="O89" s="225"/>
      <c r="P89" s="225">
        <v>0</v>
      </c>
    </row>
    <row r="90" spans="1:16" ht="12.75">
      <c r="A90" s="201"/>
      <c r="B90" s="220" t="s">
        <v>274</v>
      </c>
      <c r="C90" s="221">
        <v>88066</v>
      </c>
      <c r="D90" s="221">
        <v>211548</v>
      </c>
      <c r="E90" s="221">
        <v>1194296</v>
      </c>
      <c r="F90" s="221">
        <v>462323</v>
      </c>
      <c r="G90" s="221">
        <v>69131</v>
      </c>
      <c r="H90" s="221">
        <v>29389</v>
      </c>
      <c r="I90" s="221">
        <v>12863</v>
      </c>
      <c r="J90" s="221">
        <v>43549</v>
      </c>
      <c r="K90" s="221"/>
      <c r="L90" s="221">
        <v>425157</v>
      </c>
      <c r="M90" s="221">
        <v>29389</v>
      </c>
      <c r="N90" s="221">
        <v>2111165</v>
      </c>
      <c r="O90" s="221"/>
      <c r="P90" s="221">
        <v>2111165</v>
      </c>
    </row>
    <row r="91" spans="1:16" ht="12.75">
      <c r="A91" s="201"/>
      <c r="B91" s="222" t="s">
        <v>275</v>
      </c>
      <c r="C91" s="221">
        <f>87981.69+26.55+690.67</f>
        <v>88698.91</v>
      </c>
      <c r="D91" s="221">
        <f>213069.27+901.56</f>
        <v>213970.83</v>
      </c>
      <c r="E91" s="221">
        <v>1198762.13</v>
      </c>
      <c r="F91" s="221">
        <v>456369.36</v>
      </c>
      <c r="G91" s="221">
        <f>65030.48+3402.37</f>
        <v>68432.85</v>
      </c>
      <c r="H91" s="221">
        <v>29741.76</v>
      </c>
      <c r="I91" s="221">
        <v>7544.37</v>
      </c>
      <c r="J91" s="221">
        <v>12242.15</v>
      </c>
      <c r="K91" s="221"/>
      <c r="L91" s="221">
        <f>C91+D91+G91+I91+J91</f>
        <v>390889.11</v>
      </c>
      <c r="M91" s="221">
        <f>H91+K91</f>
        <v>29741.76</v>
      </c>
      <c r="N91" s="221">
        <f>E91+F91+L91+M91</f>
        <v>2075762.3599999996</v>
      </c>
      <c r="O91" s="221"/>
      <c r="P91" s="223">
        <f>N91+O91</f>
        <v>2075762.3599999996</v>
      </c>
    </row>
    <row r="92" spans="1:16" ht="12.75">
      <c r="A92" s="201"/>
      <c r="B92" s="224" t="s">
        <v>276</v>
      </c>
      <c r="C92" s="226">
        <f aca="true" t="shared" si="18" ref="C92:J92">C91/C90*100</f>
        <v>100.71867690141485</v>
      </c>
      <c r="D92" s="226">
        <f t="shared" si="18"/>
        <v>101.14528617618697</v>
      </c>
      <c r="E92" s="226">
        <f t="shared" si="18"/>
        <v>100.37395503292315</v>
      </c>
      <c r="F92" s="226">
        <f t="shared" si="18"/>
        <v>98.71223365482574</v>
      </c>
      <c r="G92" s="226">
        <f t="shared" si="18"/>
        <v>98.99010574127382</v>
      </c>
      <c r="H92" s="226">
        <f t="shared" si="18"/>
        <v>101.20031304229474</v>
      </c>
      <c r="I92" s="226">
        <f t="shared" si="18"/>
        <v>58.651714219077974</v>
      </c>
      <c r="J92" s="226">
        <f t="shared" si="18"/>
        <v>28.111208064479094</v>
      </c>
      <c r="K92" s="226"/>
      <c r="L92" s="226">
        <f>L91/L90*100</f>
        <v>91.93994453813532</v>
      </c>
      <c r="M92" s="226">
        <f>M91/M90*100</f>
        <v>101.20031304229474</v>
      </c>
      <c r="N92" s="226">
        <f>N91/N90*100</f>
        <v>98.32307564780581</v>
      </c>
      <c r="O92" s="226"/>
      <c r="P92" s="226">
        <f>P91/P90*100</f>
        <v>98.32307564780581</v>
      </c>
    </row>
    <row r="93" spans="1:16" ht="12.75">
      <c r="A93" s="201"/>
      <c r="B93" s="218" t="s">
        <v>295</v>
      </c>
      <c r="C93" s="219">
        <v>0</v>
      </c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219"/>
      <c r="P93" s="219">
        <v>0</v>
      </c>
    </row>
    <row r="94" spans="1:16" ht="12.75">
      <c r="A94" s="201"/>
      <c r="B94" s="220" t="s">
        <v>274</v>
      </c>
      <c r="C94" s="221">
        <v>40149</v>
      </c>
      <c r="D94" s="221">
        <v>179866</v>
      </c>
      <c r="E94" s="221">
        <v>594589</v>
      </c>
      <c r="F94" s="221">
        <v>231161</v>
      </c>
      <c r="G94" s="221">
        <v>34260</v>
      </c>
      <c r="H94" s="221">
        <v>17195</v>
      </c>
      <c r="I94" s="221">
        <v>1611</v>
      </c>
      <c r="J94" s="221">
        <v>23790</v>
      </c>
      <c r="K94" s="221">
        <v>480</v>
      </c>
      <c r="L94" s="221">
        <v>279676</v>
      </c>
      <c r="M94" s="221">
        <v>17675</v>
      </c>
      <c r="N94" s="221">
        <v>1123101</v>
      </c>
      <c r="O94" s="221"/>
      <c r="P94" s="221">
        <v>1123101</v>
      </c>
    </row>
    <row r="95" spans="1:16" ht="12.75">
      <c r="A95" s="201"/>
      <c r="B95" s="222" t="s">
        <v>275</v>
      </c>
      <c r="C95" s="221">
        <f>43290.82+6.4+2098.56</f>
        <v>45395.78</v>
      </c>
      <c r="D95" s="221">
        <f>96970.16+310.95</f>
        <v>97281.11</v>
      </c>
      <c r="E95" s="221">
        <v>584886.6</v>
      </c>
      <c r="F95" s="221">
        <v>225952.38</v>
      </c>
      <c r="G95" s="221">
        <f>31694.58+1976.46</f>
        <v>33671.04</v>
      </c>
      <c r="H95" s="221">
        <v>12989.64</v>
      </c>
      <c r="I95" s="221">
        <v>3735.57</v>
      </c>
      <c r="J95" s="221">
        <v>7687.3</v>
      </c>
      <c r="K95" s="221">
        <v>436.52</v>
      </c>
      <c r="L95" s="221">
        <f>C95+D95+G95+I95+J95</f>
        <v>187770.80000000002</v>
      </c>
      <c r="M95" s="221">
        <f>H95+K95</f>
        <v>13426.16</v>
      </c>
      <c r="N95" s="221">
        <f>E95+F95+L95+M95</f>
        <v>1012035.9400000001</v>
      </c>
      <c r="O95" s="221"/>
      <c r="P95" s="223">
        <f>N95+O95</f>
        <v>1012035.9400000001</v>
      </c>
    </row>
    <row r="96" spans="1:16" ht="12.75">
      <c r="A96" s="201"/>
      <c r="B96" s="224" t="s">
        <v>276</v>
      </c>
      <c r="C96" s="219">
        <f aca="true" t="shared" si="19" ref="C96:N96">C95/C94*100</f>
        <v>113.06827069167352</v>
      </c>
      <c r="D96" s="219">
        <f t="shared" si="19"/>
        <v>54.085324630558304</v>
      </c>
      <c r="E96" s="219">
        <f t="shared" si="19"/>
        <v>98.36821737368165</v>
      </c>
      <c r="F96" s="219">
        <f t="shared" si="19"/>
        <v>97.74675658956312</v>
      </c>
      <c r="G96" s="219">
        <f t="shared" si="19"/>
        <v>98.28091068301225</v>
      </c>
      <c r="H96" s="219">
        <f t="shared" si="19"/>
        <v>75.54312300087234</v>
      </c>
      <c r="I96" s="219">
        <f t="shared" si="19"/>
        <v>231.87895716946</v>
      </c>
      <c r="J96" s="219">
        <f t="shared" si="19"/>
        <v>32.31315678856663</v>
      </c>
      <c r="K96" s="219">
        <f t="shared" si="19"/>
        <v>90.94166666666666</v>
      </c>
      <c r="L96" s="219">
        <f t="shared" si="19"/>
        <v>67.13868905447733</v>
      </c>
      <c r="M96" s="219">
        <f t="shared" si="19"/>
        <v>75.96130127298444</v>
      </c>
      <c r="N96" s="219">
        <f t="shared" si="19"/>
        <v>90.11085734942806</v>
      </c>
      <c r="O96" s="219"/>
      <c r="P96" s="219">
        <f>P95/P94*100</f>
        <v>90.11085734942806</v>
      </c>
    </row>
    <row r="97" spans="1:16" ht="12.75">
      <c r="A97" s="201"/>
      <c r="B97" s="218" t="s">
        <v>296</v>
      </c>
      <c r="C97" s="225">
        <v>0</v>
      </c>
      <c r="D97" s="225">
        <v>0</v>
      </c>
      <c r="E97" s="225">
        <v>0</v>
      </c>
      <c r="F97" s="225">
        <v>0</v>
      </c>
      <c r="G97" s="225">
        <v>0</v>
      </c>
      <c r="H97" s="225">
        <v>0</v>
      </c>
      <c r="I97" s="225">
        <v>0</v>
      </c>
      <c r="J97" s="225">
        <v>0</v>
      </c>
      <c r="K97" s="225">
        <v>0</v>
      </c>
      <c r="L97" s="225">
        <v>0</v>
      </c>
      <c r="M97" s="225">
        <v>0</v>
      </c>
      <c r="N97" s="225">
        <v>0</v>
      </c>
      <c r="O97" s="225"/>
      <c r="P97" s="225">
        <v>0</v>
      </c>
    </row>
    <row r="98" spans="1:16" ht="12.75">
      <c r="A98" s="201"/>
      <c r="B98" s="220" t="s">
        <v>274</v>
      </c>
      <c r="C98" s="221">
        <v>54924</v>
      </c>
      <c r="D98" s="221">
        <v>135072</v>
      </c>
      <c r="E98" s="221">
        <v>518603</v>
      </c>
      <c r="F98" s="221">
        <v>203894</v>
      </c>
      <c r="G98" s="221">
        <v>32001</v>
      </c>
      <c r="H98" s="221">
        <v>20793</v>
      </c>
      <c r="I98" s="221">
        <v>2750</v>
      </c>
      <c r="J98" s="221">
        <v>32400</v>
      </c>
      <c r="K98" s="221"/>
      <c r="L98" s="221">
        <v>257147</v>
      </c>
      <c r="M98" s="221">
        <v>20793</v>
      </c>
      <c r="N98" s="221">
        <v>1000437</v>
      </c>
      <c r="O98" s="221"/>
      <c r="P98" s="221">
        <v>1000437</v>
      </c>
    </row>
    <row r="99" spans="1:16" ht="12.75">
      <c r="A99" s="201"/>
      <c r="B99" s="222" t="s">
        <v>275</v>
      </c>
      <c r="C99" s="221">
        <f>61590.15+12.59</f>
        <v>61602.74</v>
      </c>
      <c r="D99" s="221">
        <f>117408.46+357.21</f>
        <v>117765.67000000001</v>
      </c>
      <c r="E99" s="221">
        <v>533754.76</v>
      </c>
      <c r="F99" s="221">
        <v>206549.36</v>
      </c>
      <c r="G99" s="221">
        <f>27504.16+2361.82</f>
        <v>29865.98</v>
      </c>
      <c r="H99" s="221">
        <v>12526.42</v>
      </c>
      <c r="I99" s="221">
        <v>2035.48</v>
      </c>
      <c r="J99" s="221">
        <v>4597.14</v>
      </c>
      <c r="K99" s="221"/>
      <c r="L99" s="221">
        <f>C99+D99+G99+I99+J99</f>
        <v>215867.01000000004</v>
      </c>
      <c r="M99" s="221">
        <f>H99+K99</f>
        <v>12526.42</v>
      </c>
      <c r="N99" s="221">
        <f>E99+F99+L99+M99</f>
        <v>968697.55</v>
      </c>
      <c r="O99" s="221"/>
      <c r="P99" s="223">
        <f>N99+O99</f>
        <v>968697.55</v>
      </c>
    </row>
    <row r="100" spans="1:16" ht="12.75">
      <c r="A100" s="201"/>
      <c r="B100" s="224" t="s">
        <v>276</v>
      </c>
      <c r="C100" s="219">
        <f aca="true" t="shared" si="20" ref="C100:J100">C99/C98*100</f>
        <v>112.15996649916246</v>
      </c>
      <c r="D100" s="219">
        <f t="shared" si="20"/>
        <v>87.1873297204454</v>
      </c>
      <c r="E100" s="219">
        <f t="shared" si="20"/>
        <v>102.92164912273935</v>
      </c>
      <c r="F100" s="219">
        <f t="shared" si="20"/>
        <v>101.30232375646169</v>
      </c>
      <c r="G100" s="219">
        <f t="shared" si="20"/>
        <v>93.32827099153151</v>
      </c>
      <c r="H100" s="219">
        <f t="shared" si="20"/>
        <v>60.24344731399991</v>
      </c>
      <c r="I100" s="219">
        <f t="shared" si="20"/>
        <v>74.01745454545454</v>
      </c>
      <c r="J100" s="219">
        <f t="shared" si="20"/>
        <v>14.188703703703704</v>
      </c>
      <c r="K100" s="219"/>
      <c r="L100" s="219">
        <f>L99/L98*100</f>
        <v>83.9469291883631</v>
      </c>
      <c r="M100" s="219">
        <f>M99/M98*100</f>
        <v>60.24344731399991</v>
      </c>
      <c r="N100" s="219">
        <f>N99/N98*100</f>
        <v>96.82744140810466</v>
      </c>
      <c r="O100" s="219"/>
      <c r="P100" s="219">
        <f>P99/P98*100</f>
        <v>96.82744140810466</v>
      </c>
    </row>
    <row r="101" spans="1:16" ht="12.75">
      <c r="A101" s="201"/>
      <c r="B101" s="218" t="s">
        <v>297</v>
      </c>
      <c r="C101" s="225">
        <v>0</v>
      </c>
      <c r="D101" s="225">
        <v>0</v>
      </c>
      <c r="E101" s="225">
        <v>0</v>
      </c>
      <c r="F101" s="225">
        <v>0</v>
      </c>
      <c r="G101" s="225">
        <v>0</v>
      </c>
      <c r="H101" s="225">
        <v>0</v>
      </c>
      <c r="I101" s="225">
        <v>0</v>
      </c>
      <c r="J101" s="225">
        <v>0</v>
      </c>
      <c r="K101" s="225">
        <v>0</v>
      </c>
      <c r="L101" s="225">
        <v>0</v>
      </c>
      <c r="M101" s="225">
        <v>0</v>
      </c>
      <c r="N101" s="225">
        <v>0</v>
      </c>
      <c r="O101" s="225"/>
      <c r="P101" s="225">
        <v>0</v>
      </c>
    </row>
    <row r="102" spans="1:16" ht="12.75">
      <c r="A102" s="201"/>
      <c r="B102" s="220" t="s">
        <v>274</v>
      </c>
      <c r="C102" s="221">
        <v>24100</v>
      </c>
      <c r="D102" s="221">
        <v>67837</v>
      </c>
      <c r="E102" s="221">
        <v>370893</v>
      </c>
      <c r="F102" s="221">
        <v>148973</v>
      </c>
      <c r="G102" s="221">
        <v>19793</v>
      </c>
      <c r="H102" s="221">
        <v>23218</v>
      </c>
      <c r="I102" s="221">
        <v>1122</v>
      </c>
      <c r="J102" s="221">
        <v>14000</v>
      </c>
      <c r="K102" s="221"/>
      <c r="L102" s="221">
        <v>126852</v>
      </c>
      <c r="M102" s="221">
        <v>23218</v>
      </c>
      <c r="N102" s="221">
        <v>669936</v>
      </c>
      <c r="O102" s="221"/>
      <c r="P102" s="221">
        <v>669936</v>
      </c>
    </row>
    <row r="103" spans="1:16" ht="12.75">
      <c r="A103" s="201"/>
      <c r="B103" s="222" t="s">
        <v>275</v>
      </c>
      <c r="C103" s="221">
        <f>26088.47+9.54</f>
        <v>26098.010000000002</v>
      </c>
      <c r="D103" s="221">
        <f>159.02+63403.53</f>
        <v>63562.549999999996</v>
      </c>
      <c r="E103" s="221">
        <v>369895.8</v>
      </c>
      <c r="F103" s="221">
        <v>140712.78</v>
      </c>
      <c r="G103" s="221">
        <f>18931.41+1342.22</f>
        <v>20273.63</v>
      </c>
      <c r="H103" s="221">
        <v>12534.28</v>
      </c>
      <c r="I103" s="221">
        <v>1142.77</v>
      </c>
      <c r="J103" s="221">
        <v>1799.87</v>
      </c>
      <c r="K103" s="221"/>
      <c r="L103" s="221">
        <f>C103+D103+G103+I103+J103</f>
        <v>112876.83</v>
      </c>
      <c r="M103" s="221">
        <f>H103+K103</f>
        <v>12534.28</v>
      </c>
      <c r="N103" s="221">
        <f>E103+F103+L103+M103</f>
        <v>636019.69</v>
      </c>
      <c r="O103" s="221"/>
      <c r="P103" s="223">
        <f>N103+O103</f>
        <v>636019.69</v>
      </c>
    </row>
    <row r="104" spans="1:16" ht="12.75">
      <c r="A104" s="201"/>
      <c r="B104" s="224" t="s">
        <v>276</v>
      </c>
      <c r="C104" s="219">
        <f aca="true" t="shared" si="21" ref="C104:J104">C103/C102*100</f>
        <v>108.2904979253112</v>
      </c>
      <c r="D104" s="219">
        <f t="shared" si="21"/>
        <v>93.69894010643158</v>
      </c>
      <c r="E104" s="219">
        <f t="shared" si="21"/>
        <v>99.73113539484433</v>
      </c>
      <c r="F104" s="219">
        <f t="shared" si="21"/>
        <v>94.45522342974901</v>
      </c>
      <c r="G104" s="219">
        <f t="shared" si="21"/>
        <v>102.42828272621634</v>
      </c>
      <c r="H104" s="219">
        <f t="shared" si="21"/>
        <v>53.985183909036095</v>
      </c>
      <c r="I104" s="219">
        <f t="shared" si="21"/>
        <v>101.8511586452763</v>
      </c>
      <c r="J104" s="219">
        <f t="shared" si="21"/>
        <v>12.856214285714284</v>
      </c>
      <c r="K104" s="219"/>
      <c r="L104" s="219">
        <f>L103/L102*100</f>
        <v>88.9830905306972</v>
      </c>
      <c r="M104" s="219">
        <f>M103/M102*100</f>
        <v>53.985183909036095</v>
      </c>
      <c r="N104" s="219">
        <f>N103/N102*100</f>
        <v>94.93738058560817</v>
      </c>
      <c r="O104" s="219"/>
      <c r="P104" s="219">
        <f>P103/P102*100</f>
        <v>94.93738058560817</v>
      </c>
    </row>
    <row r="105" spans="1:16" ht="12.75">
      <c r="A105" s="201"/>
      <c r="B105" s="218" t="s">
        <v>298</v>
      </c>
      <c r="C105" s="225">
        <v>0</v>
      </c>
      <c r="D105" s="225">
        <v>0</v>
      </c>
      <c r="E105" s="225">
        <v>0</v>
      </c>
      <c r="F105" s="225">
        <v>0</v>
      </c>
      <c r="G105" s="225">
        <v>0</v>
      </c>
      <c r="H105" s="225">
        <v>0</v>
      </c>
      <c r="I105" s="225">
        <v>0</v>
      </c>
      <c r="J105" s="225">
        <v>0</v>
      </c>
      <c r="K105" s="225">
        <v>0</v>
      </c>
      <c r="L105" s="225">
        <v>0</v>
      </c>
      <c r="M105" s="225">
        <v>0</v>
      </c>
      <c r="N105" s="225">
        <v>0</v>
      </c>
      <c r="O105" s="225"/>
      <c r="P105" s="225">
        <v>0</v>
      </c>
    </row>
    <row r="106" spans="1:16" ht="12.75">
      <c r="A106" s="201"/>
      <c r="B106" s="220" t="s">
        <v>274</v>
      </c>
      <c r="C106" s="221">
        <v>54440</v>
      </c>
      <c r="D106" s="221">
        <v>128227</v>
      </c>
      <c r="E106" s="221">
        <v>737547</v>
      </c>
      <c r="F106" s="221">
        <v>288467</v>
      </c>
      <c r="G106" s="221">
        <v>37880</v>
      </c>
      <c r="H106" s="221">
        <v>25745</v>
      </c>
      <c r="I106" s="221">
        <v>4644</v>
      </c>
      <c r="J106" s="221">
        <v>23440</v>
      </c>
      <c r="K106" s="221"/>
      <c r="L106" s="221">
        <v>248631</v>
      </c>
      <c r="M106" s="221">
        <v>25745</v>
      </c>
      <c r="N106" s="221">
        <v>1300390</v>
      </c>
      <c r="O106" s="221"/>
      <c r="P106" s="221">
        <v>1300390</v>
      </c>
    </row>
    <row r="107" spans="1:16" ht="12.75">
      <c r="A107" s="201"/>
      <c r="B107" s="222" t="s">
        <v>275</v>
      </c>
      <c r="C107" s="221">
        <f>59130.15+1.71+2336.99</f>
        <v>61468.85</v>
      </c>
      <c r="D107" s="221">
        <f>150957.58+4126.59</f>
        <v>155084.16999999998</v>
      </c>
      <c r="E107" s="221">
        <v>744402.11</v>
      </c>
      <c r="F107" s="221">
        <v>286412.94</v>
      </c>
      <c r="G107" s="221">
        <f>37833.8+1654.16</f>
        <v>39487.96000000001</v>
      </c>
      <c r="H107" s="221">
        <v>18901.86</v>
      </c>
      <c r="I107" s="221">
        <v>3414.15</v>
      </c>
      <c r="J107" s="221">
        <v>6413.86</v>
      </c>
      <c r="K107" s="221"/>
      <c r="L107" s="221">
        <f>C107+D107+G107+I107+J107</f>
        <v>265868.99</v>
      </c>
      <c r="M107" s="221">
        <f>H107+K107</f>
        <v>18901.86</v>
      </c>
      <c r="N107" s="221">
        <f>E107+F107+L107+M107</f>
        <v>1315585.9000000001</v>
      </c>
      <c r="O107" s="221"/>
      <c r="P107" s="223">
        <f>N107+O107</f>
        <v>1315585.9000000001</v>
      </c>
    </row>
    <row r="108" spans="1:16" ht="12.75">
      <c r="A108" s="201"/>
      <c r="B108" s="224" t="s">
        <v>276</v>
      </c>
      <c r="C108" s="219">
        <f aca="true" t="shared" si="22" ref="C108:J108">C107/C106*100</f>
        <v>112.9111866274798</v>
      </c>
      <c r="D108" s="219">
        <f t="shared" si="22"/>
        <v>120.94501937969382</v>
      </c>
      <c r="E108" s="219">
        <f t="shared" si="22"/>
        <v>100.92944720811012</v>
      </c>
      <c r="F108" s="219">
        <f t="shared" si="22"/>
        <v>99.28793934834835</v>
      </c>
      <c r="G108" s="219">
        <f t="shared" si="22"/>
        <v>104.24487856388598</v>
      </c>
      <c r="H108" s="219">
        <f t="shared" si="22"/>
        <v>73.41953777432512</v>
      </c>
      <c r="I108" s="219">
        <f t="shared" si="22"/>
        <v>73.51744186046511</v>
      </c>
      <c r="J108" s="219">
        <f t="shared" si="22"/>
        <v>27.362883959044364</v>
      </c>
      <c r="K108" s="219"/>
      <c r="L108" s="219">
        <f>L107/L106*100</f>
        <v>106.93316199508509</v>
      </c>
      <c r="M108" s="219">
        <f>M107/M106*100</f>
        <v>73.41953777432512</v>
      </c>
      <c r="N108" s="219">
        <f>N107/N106*100</f>
        <v>101.16856481517085</v>
      </c>
      <c r="O108" s="219"/>
      <c r="P108" s="219">
        <f>P107/P106*100</f>
        <v>101.16856481517085</v>
      </c>
    </row>
    <row r="109" spans="1:16" ht="12.75">
      <c r="A109" s="201"/>
      <c r="B109" s="218" t="s">
        <v>299</v>
      </c>
      <c r="C109" s="225">
        <v>0</v>
      </c>
      <c r="D109" s="225">
        <v>0</v>
      </c>
      <c r="E109" s="225">
        <v>0</v>
      </c>
      <c r="F109" s="225">
        <v>0</v>
      </c>
      <c r="G109" s="225">
        <v>0</v>
      </c>
      <c r="H109" s="225">
        <v>0</v>
      </c>
      <c r="I109" s="225">
        <v>0</v>
      </c>
      <c r="J109" s="225">
        <v>0</v>
      </c>
      <c r="K109" s="225">
        <v>0</v>
      </c>
      <c r="L109" s="225">
        <v>0</v>
      </c>
      <c r="M109" s="225">
        <v>0</v>
      </c>
      <c r="N109" s="225">
        <v>0</v>
      </c>
      <c r="O109" s="225"/>
      <c r="P109" s="225">
        <v>0</v>
      </c>
    </row>
    <row r="110" spans="1:16" ht="12.75">
      <c r="A110" s="201"/>
      <c r="B110" s="220" t="s">
        <v>274</v>
      </c>
      <c r="C110" s="221">
        <v>55324</v>
      </c>
      <c r="D110" s="221">
        <v>122931</v>
      </c>
      <c r="E110" s="221">
        <v>580300</v>
      </c>
      <c r="F110" s="221">
        <v>228131</v>
      </c>
      <c r="G110" s="221">
        <v>29548</v>
      </c>
      <c r="H110" s="221">
        <v>23611</v>
      </c>
      <c r="I110" s="221">
        <v>3778</v>
      </c>
      <c r="J110" s="221">
        <v>23250</v>
      </c>
      <c r="K110" s="221">
        <v>50</v>
      </c>
      <c r="L110" s="221">
        <v>234831</v>
      </c>
      <c r="M110" s="221">
        <v>23661</v>
      </c>
      <c r="N110" s="221">
        <v>1066923</v>
      </c>
      <c r="O110" s="221"/>
      <c r="P110" s="221">
        <v>1066923</v>
      </c>
    </row>
    <row r="111" spans="1:16" ht="12.75">
      <c r="A111" s="201"/>
      <c r="B111" s="222" t="s">
        <v>275</v>
      </c>
      <c r="C111" s="221">
        <f>46749.1+29.72+6705.98</f>
        <v>53484.8</v>
      </c>
      <c r="D111" s="221">
        <f>113427.66+365.52</f>
        <v>113793.18000000001</v>
      </c>
      <c r="E111" s="221">
        <v>583605.58</v>
      </c>
      <c r="F111" s="221">
        <v>229545.65</v>
      </c>
      <c r="G111" s="221">
        <f>30289.13+2173.36</f>
        <v>32462.49</v>
      </c>
      <c r="H111" s="221">
        <v>17094.41</v>
      </c>
      <c r="I111" s="221">
        <v>3506.27</v>
      </c>
      <c r="J111" s="221">
        <v>3997.73</v>
      </c>
      <c r="K111" s="221">
        <v>72.6</v>
      </c>
      <c r="L111" s="221">
        <f>C111+D111+G111+I111+J111</f>
        <v>207244.47</v>
      </c>
      <c r="M111" s="221">
        <f>H111+K111</f>
        <v>17167.01</v>
      </c>
      <c r="N111" s="221">
        <f>E111+F111+L111+M111</f>
        <v>1037562.71</v>
      </c>
      <c r="O111" s="221"/>
      <c r="P111" s="223">
        <f>N111+O111</f>
        <v>1037562.71</v>
      </c>
    </row>
    <row r="112" spans="1:16" ht="12.75">
      <c r="A112" s="201"/>
      <c r="B112" s="224" t="s">
        <v>276</v>
      </c>
      <c r="C112" s="219">
        <f aca="true" t="shared" si="23" ref="C112:N112">C111/C110*100</f>
        <v>96.67558383341769</v>
      </c>
      <c r="D112" s="219">
        <f t="shared" si="23"/>
        <v>92.56670815335433</v>
      </c>
      <c r="E112" s="219">
        <f t="shared" si="23"/>
        <v>100.56963294847492</v>
      </c>
      <c r="F112" s="219">
        <f t="shared" si="23"/>
        <v>100.62010423835429</v>
      </c>
      <c r="G112" s="219">
        <f t="shared" si="23"/>
        <v>109.86357790713417</v>
      </c>
      <c r="H112" s="219">
        <f t="shared" si="23"/>
        <v>72.40019482444623</v>
      </c>
      <c r="I112" s="219">
        <f t="shared" si="23"/>
        <v>92.80757014293278</v>
      </c>
      <c r="J112" s="219">
        <f t="shared" si="23"/>
        <v>17.1945376344086</v>
      </c>
      <c r="K112" s="219">
        <f t="shared" si="23"/>
        <v>145.2</v>
      </c>
      <c r="L112" s="219">
        <f t="shared" si="23"/>
        <v>88.25260293572825</v>
      </c>
      <c r="M112" s="219">
        <f t="shared" si="23"/>
        <v>72.55403406449432</v>
      </c>
      <c r="N112" s="219">
        <f t="shared" si="23"/>
        <v>97.24813412026921</v>
      </c>
      <c r="O112" s="219"/>
      <c r="P112" s="219">
        <f>P111/P110*100</f>
        <v>97.24813412026921</v>
      </c>
    </row>
    <row r="113" spans="1:16" ht="12.75">
      <c r="A113" s="201"/>
      <c r="B113" s="218" t="s">
        <v>300</v>
      </c>
      <c r="C113" s="225">
        <v>0</v>
      </c>
      <c r="D113" s="225">
        <v>0</v>
      </c>
      <c r="E113" s="225">
        <v>0</v>
      </c>
      <c r="F113" s="225">
        <v>0</v>
      </c>
      <c r="G113" s="225">
        <v>0</v>
      </c>
      <c r="H113" s="225">
        <v>0</v>
      </c>
      <c r="I113" s="225">
        <v>0</v>
      </c>
      <c r="J113" s="225">
        <v>0</v>
      </c>
      <c r="K113" s="225">
        <v>0</v>
      </c>
      <c r="L113" s="225">
        <v>0</v>
      </c>
      <c r="M113" s="225">
        <v>0</v>
      </c>
      <c r="N113" s="225">
        <v>0</v>
      </c>
      <c r="O113" s="225"/>
      <c r="P113" s="225">
        <v>0</v>
      </c>
    </row>
    <row r="114" spans="1:16" ht="12.75">
      <c r="A114" s="201"/>
      <c r="B114" s="220" t="s">
        <v>274</v>
      </c>
      <c r="C114" s="221">
        <v>103937</v>
      </c>
      <c r="D114" s="221">
        <v>192192</v>
      </c>
      <c r="E114" s="221">
        <v>1201208</v>
      </c>
      <c r="F114" s="221">
        <v>463617</v>
      </c>
      <c r="G114" s="221">
        <v>69608</v>
      </c>
      <c r="H114" s="221">
        <v>25791</v>
      </c>
      <c r="I114" s="221">
        <v>10199</v>
      </c>
      <c r="J114" s="221">
        <v>71900</v>
      </c>
      <c r="K114" s="221">
        <v>210</v>
      </c>
      <c r="L114" s="221">
        <v>447836</v>
      </c>
      <c r="M114" s="221">
        <v>26001</v>
      </c>
      <c r="N114" s="221">
        <v>2138662</v>
      </c>
      <c r="O114" s="221"/>
      <c r="P114" s="221">
        <v>2138662</v>
      </c>
    </row>
    <row r="115" spans="1:16" ht="12.75">
      <c r="A115" s="201"/>
      <c r="B115" s="222" t="s">
        <v>275</v>
      </c>
      <c r="C115" s="221">
        <f>98140.32+3.49+9836.78</f>
        <v>107980.59000000001</v>
      </c>
      <c r="D115" s="221">
        <f>221376.07+1234.12</f>
        <v>222610.19</v>
      </c>
      <c r="E115" s="221">
        <v>1238973.02</v>
      </c>
      <c r="F115" s="221">
        <v>464420.14</v>
      </c>
      <c r="G115" s="221">
        <f>65588.19+4870.52</f>
        <v>70458.71</v>
      </c>
      <c r="H115" s="221">
        <v>12680.92</v>
      </c>
      <c r="I115" s="221">
        <v>5642.15</v>
      </c>
      <c r="J115" s="221">
        <v>30045.14</v>
      </c>
      <c r="K115" s="221"/>
      <c r="L115" s="221">
        <f>C115+D115+G115+I115+J115</f>
        <v>436736.7800000001</v>
      </c>
      <c r="M115" s="221">
        <f>H115+K115</f>
        <v>12680.92</v>
      </c>
      <c r="N115" s="221">
        <f>E115+F115+L115+M115</f>
        <v>2152810.8600000003</v>
      </c>
      <c r="O115" s="221"/>
      <c r="P115" s="223">
        <f>N115+O115</f>
        <v>2152810.8600000003</v>
      </c>
    </row>
    <row r="116" spans="1:16" ht="12.75">
      <c r="A116" s="201"/>
      <c r="B116" s="224" t="s">
        <v>276</v>
      </c>
      <c r="C116" s="219">
        <f aca="true" t="shared" si="24" ref="C116:N116">C115/C114*100</f>
        <v>103.89042400685031</v>
      </c>
      <c r="D116" s="219">
        <f t="shared" si="24"/>
        <v>115.82698031135533</v>
      </c>
      <c r="E116" s="219">
        <f t="shared" si="24"/>
        <v>103.14392012041212</v>
      </c>
      <c r="F116" s="219">
        <f t="shared" si="24"/>
        <v>100.17323350955638</v>
      </c>
      <c r="G116" s="219">
        <f t="shared" si="24"/>
        <v>101.22214400643605</v>
      </c>
      <c r="H116" s="219">
        <f t="shared" si="24"/>
        <v>49.16800434260013</v>
      </c>
      <c r="I116" s="219">
        <f t="shared" si="24"/>
        <v>55.32061966859496</v>
      </c>
      <c r="J116" s="219">
        <f t="shared" si="24"/>
        <v>41.78739916550765</v>
      </c>
      <c r="K116" s="219">
        <f t="shared" si="24"/>
        <v>0</v>
      </c>
      <c r="L116" s="219">
        <f t="shared" si="24"/>
        <v>97.52158825998805</v>
      </c>
      <c r="M116" s="219">
        <f t="shared" si="24"/>
        <v>48.77089342717588</v>
      </c>
      <c r="N116" s="219">
        <f t="shared" si="24"/>
        <v>100.66157532139255</v>
      </c>
      <c r="O116" s="219"/>
      <c r="P116" s="219">
        <f>P115/P114*100</f>
        <v>100.66157532139255</v>
      </c>
    </row>
    <row r="117" spans="1:16" ht="12.75">
      <c r="A117" s="201"/>
      <c r="B117" s="218" t="s">
        <v>301</v>
      </c>
      <c r="C117" s="225">
        <v>0</v>
      </c>
      <c r="D117" s="225">
        <v>0</v>
      </c>
      <c r="E117" s="225">
        <v>0</v>
      </c>
      <c r="F117" s="225">
        <v>0</v>
      </c>
      <c r="G117" s="225">
        <v>0</v>
      </c>
      <c r="H117" s="225">
        <v>0</v>
      </c>
      <c r="I117" s="225">
        <v>0</v>
      </c>
      <c r="J117" s="225">
        <v>0</v>
      </c>
      <c r="K117" s="225">
        <v>0</v>
      </c>
      <c r="L117" s="225">
        <v>0</v>
      </c>
      <c r="M117" s="225">
        <v>0</v>
      </c>
      <c r="N117" s="225">
        <v>0</v>
      </c>
      <c r="O117" s="225"/>
      <c r="P117" s="225">
        <v>0</v>
      </c>
    </row>
    <row r="118" spans="1:16" ht="12.75">
      <c r="A118" s="201"/>
      <c r="B118" s="220" t="s">
        <v>274</v>
      </c>
      <c r="C118" s="221">
        <v>43115</v>
      </c>
      <c r="D118" s="221">
        <v>105495</v>
      </c>
      <c r="E118" s="221">
        <v>540842</v>
      </c>
      <c r="F118" s="221">
        <v>209488</v>
      </c>
      <c r="G118" s="221">
        <v>30187</v>
      </c>
      <c r="H118" s="221">
        <v>13509</v>
      </c>
      <c r="I118" s="221">
        <v>1783</v>
      </c>
      <c r="J118" s="221">
        <v>30718</v>
      </c>
      <c r="K118" s="221"/>
      <c r="L118" s="221">
        <v>211298</v>
      </c>
      <c r="M118" s="221">
        <v>13509</v>
      </c>
      <c r="N118" s="221">
        <v>975137</v>
      </c>
      <c r="O118" s="221"/>
      <c r="P118" s="221">
        <v>975137</v>
      </c>
    </row>
    <row r="119" spans="1:16" ht="12.75">
      <c r="A119" s="201"/>
      <c r="B119" s="222" t="s">
        <v>275</v>
      </c>
      <c r="C119" s="221">
        <f>38904.96+5.14+1450.78</f>
        <v>40360.88</v>
      </c>
      <c r="D119" s="221">
        <f>87524.57+216.23</f>
        <v>87740.8</v>
      </c>
      <c r="E119" s="221">
        <v>538076.22</v>
      </c>
      <c r="F119" s="221">
        <v>201425.19</v>
      </c>
      <c r="G119" s="221">
        <f>29520.91+608.73</f>
        <v>30129.64</v>
      </c>
      <c r="H119" s="221">
        <v>15717.16</v>
      </c>
      <c r="I119" s="221">
        <v>1722.26</v>
      </c>
      <c r="J119" s="221">
        <v>12623.38</v>
      </c>
      <c r="K119" s="221"/>
      <c r="L119" s="221">
        <f>C119+D119+G119+I119+J119</f>
        <v>172576.96000000002</v>
      </c>
      <c r="M119" s="221">
        <f>H119+K119</f>
        <v>15717.16</v>
      </c>
      <c r="N119" s="221">
        <f>E119+F119+L119+M119</f>
        <v>927795.5299999999</v>
      </c>
      <c r="O119" s="221"/>
      <c r="P119" s="223">
        <f>N119+O119</f>
        <v>927795.5299999999</v>
      </c>
    </row>
    <row r="120" spans="1:16" ht="12.75">
      <c r="A120" s="201"/>
      <c r="B120" s="224" t="s">
        <v>276</v>
      </c>
      <c r="C120" s="219">
        <f aca="true" t="shared" si="25" ref="C120:J120">C119/C118*100</f>
        <v>93.6121535428505</v>
      </c>
      <c r="D120" s="219">
        <f t="shared" si="25"/>
        <v>83.1705768045879</v>
      </c>
      <c r="E120" s="219">
        <f t="shared" si="25"/>
        <v>99.48861589891317</v>
      </c>
      <c r="F120" s="219">
        <f t="shared" si="25"/>
        <v>96.15118288398381</v>
      </c>
      <c r="G120" s="219">
        <f t="shared" si="25"/>
        <v>99.80998443038393</v>
      </c>
      <c r="H120" s="219">
        <f t="shared" si="25"/>
        <v>116.34584351173291</v>
      </c>
      <c r="I120" s="219">
        <f t="shared" si="25"/>
        <v>96.59338194054963</v>
      </c>
      <c r="J120" s="219">
        <f t="shared" si="25"/>
        <v>41.09440718796796</v>
      </c>
      <c r="K120" s="219"/>
      <c r="L120" s="219">
        <f>L119/L118*100</f>
        <v>81.6746774697347</v>
      </c>
      <c r="M120" s="219">
        <f>M119/M118*100</f>
        <v>116.34584351173291</v>
      </c>
      <c r="N120" s="219">
        <f>N119/N118*100</f>
        <v>95.14514678450308</v>
      </c>
      <c r="O120" s="219"/>
      <c r="P120" s="219">
        <f>P119/P118*100</f>
        <v>95.14514678450308</v>
      </c>
    </row>
    <row r="121" spans="1:16" ht="12.75">
      <c r="A121" s="201"/>
      <c r="B121" s="218" t="s">
        <v>302</v>
      </c>
      <c r="C121" s="225">
        <v>0</v>
      </c>
      <c r="D121" s="225">
        <v>0</v>
      </c>
      <c r="E121" s="225">
        <v>0</v>
      </c>
      <c r="F121" s="225">
        <v>0</v>
      </c>
      <c r="G121" s="225">
        <v>0</v>
      </c>
      <c r="H121" s="225">
        <v>0</v>
      </c>
      <c r="I121" s="225">
        <v>0</v>
      </c>
      <c r="J121" s="225">
        <v>0</v>
      </c>
      <c r="K121" s="225">
        <v>0</v>
      </c>
      <c r="L121" s="225">
        <v>0</v>
      </c>
      <c r="M121" s="225">
        <v>0</v>
      </c>
      <c r="N121" s="225">
        <v>0</v>
      </c>
      <c r="O121" s="225"/>
      <c r="P121" s="225">
        <v>0</v>
      </c>
    </row>
    <row r="122" spans="1:16" ht="12.75">
      <c r="A122" s="201"/>
      <c r="B122" s="220" t="s">
        <v>274</v>
      </c>
      <c r="C122" s="221">
        <v>54330</v>
      </c>
      <c r="D122" s="221">
        <v>127253</v>
      </c>
      <c r="E122" s="221">
        <v>644344</v>
      </c>
      <c r="F122" s="221">
        <v>253046</v>
      </c>
      <c r="G122" s="221">
        <v>37438</v>
      </c>
      <c r="H122" s="221">
        <v>25234</v>
      </c>
      <c r="I122" s="221">
        <v>13006</v>
      </c>
      <c r="J122" s="221">
        <v>36500</v>
      </c>
      <c r="K122" s="221">
        <v>500</v>
      </c>
      <c r="L122" s="221">
        <v>268527</v>
      </c>
      <c r="M122" s="221">
        <v>25734</v>
      </c>
      <c r="N122" s="221">
        <v>1191651</v>
      </c>
      <c r="O122" s="221"/>
      <c r="P122" s="221">
        <v>1191651</v>
      </c>
    </row>
    <row r="123" spans="1:16" ht="12.75">
      <c r="A123" s="201"/>
      <c r="B123" s="222" t="s">
        <v>275</v>
      </c>
      <c r="C123" s="221">
        <f>52001.58+0.19+4162.2</f>
        <v>56163.97</v>
      </c>
      <c r="D123" s="221">
        <f>121493.19+1226.21</f>
        <v>122719.40000000001</v>
      </c>
      <c r="E123" s="221">
        <v>647855.62</v>
      </c>
      <c r="F123" s="221">
        <v>247625.57</v>
      </c>
      <c r="G123" s="221">
        <f>33584.68+1724.63</f>
        <v>35309.31</v>
      </c>
      <c r="H123" s="221">
        <v>10427.13</v>
      </c>
      <c r="I123" s="221">
        <v>7369.99</v>
      </c>
      <c r="J123" s="221">
        <v>9774.88</v>
      </c>
      <c r="K123" s="221">
        <v>413.48</v>
      </c>
      <c r="L123" s="221">
        <f>C123+D123+G123+I123+J123</f>
        <v>231337.55</v>
      </c>
      <c r="M123" s="221">
        <f>H123+K123</f>
        <v>10840.609999999999</v>
      </c>
      <c r="N123" s="221">
        <f>E123+F123+L123+M123</f>
        <v>1137659.35</v>
      </c>
      <c r="O123" s="221"/>
      <c r="P123" s="223">
        <f>N123+O123</f>
        <v>1137659.35</v>
      </c>
    </row>
    <row r="124" spans="1:16" ht="12.75">
      <c r="A124" s="201"/>
      <c r="B124" s="224" t="s">
        <v>276</v>
      </c>
      <c r="C124" s="219">
        <f aca="true" t="shared" si="26" ref="C124:N124">C123/C122*100</f>
        <v>103.37561200073624</v>
      </c>
      <c r="D124" s="219">
        <f t="shared" si="26"/>
        <v>96.43733350097837</v>
      </c>
      <c r="E124" s="219">
        <f t="shared" si="26"/>
        <v>100.54499149522616</v>
      </c>
      <c r="F124" s="219">
        <f t="shared" si="26"/>
        <v>97.85792701722217</v>
      </c>
      <c r="G124" s="219">
        <f t="shared" si="26"/>
        <v>94.31409263315348</v>
      </c>
      <c r="H124" s="219">
        <f t="shared" si="26"/>
        <v>41.32174843465165</v>
      </c>
      <c r="I124" s="219">
        <f t="shared" si="26"/>
        <v>56.66607719514071</v>
      </c>
      <c r="J124" s="219">
        <f t="shared" si="26"/>
        <v>26.78049315068493</v>
      </c>
      <c r="K124" s="219">
        <f t="shared" si="26"/>
        <v>82.696</v>
      </c>
      <c r="L124" s="219">
        <f t="shared" si="26"/>
        <v>86.15057331292569</v>
      </c>
      <c r="M124" s="219">
        <f t="shared" si="26"/>
        <v>42.12563146032486</v>
      </c>
      <c r="N124" s="219">
        <f t="shared" si="26"/>
        <v>95.46917260170974</v>
      </c>
      <c r="O124" s="219"/>
      <c r="P124" s="219">
        <f>P123/P122*100</f>
        <v>95.46917260170974</v>
      </c>
    </row>
    <row r="125" spans="1:16" ht="12.75">
      <c r="A125" s="201"/>
      <c r="B125" s="218" t="s">
        <v>303</v>
      </c>
      <c r="C125" s="225">
        <v>0</v>
      </c>
      <c r="D125" s="225">
        <v>0</v>
      </c>
      <c r="E125" s="225">
        <v>0</v>
      </c>
      <c r="F125" s="225">
        <v>0</v>
      </c>
      <c r="G125" s="225">
        <v>0</v>
      </c>
      <c r="H125" s="225">
        <v>0</v>
      </c>
      <c r="I125" s="225">
        <v>0</v>
      </c>
      <c r="J125" s="225">
        <v>0</v>
      </c>
      <c r="K125" s="225">
        <v>0</v>
      </c>
      <c r="L125" s="225">
        <v>0</v>
      </c>
      <c r="M125" s="225">
        <v>0</v>
      </c>
      <c r="N125" s="225">
        <v>0</v>
      </c>
      <c r="O125" s="225"/>
      <c r="P125" s="225">
        <v>0</v>
      </c>
    </row>
    <row r="126" spans="1:16" ht="12.75">
      <c r="A126" s="201"/>
      <c r="B126" s="220" t="s">
        <v>274</v>
      </c>
      <c r="C126" s="221">
        <v>83931</v>
      </c>
      <c r="D126" s="221">
        <v>180474</v>
      </c>
      <c r="E126" s="221">
        <v>955457</v>
      </c>
      <c r="F126" s="221">
        <v>373193</v>
      </c>
      <c r="G126" s="221">
        <v>51296</v>
      </c>
      <c r="H126" s="221">
        <v>32025</v>
      </c>
      <c r="I126" s="221">
        <v>17550</v>
      </c>
      <c r="J126" s="221">
        <v>55500</v>
      </c>
      <c r="K126" s="221">
        <v>90</v>
      </c>
      <c r="L126" s="221">
        <v>388751</v>
      </c>
      <c r="M126" s="221">
        <v>32115</v>
      </c>
      <c r="N126" s="221">
        <v>1749516</v>
      </c>
      <c r="O126" s="221"/>
      <c r="P126" s="221">
        <v>1749516</v>
      </c>
    </row>
    <row r="127" spans="1:16" ht="12.75">
      <c r="A127" s="201"/>
      <c r="B127" s="222" t="s">
        <v>275</v>
      </c>
      <c r="C127" s="221">
        <f>76187.38+5.09+9604.62</f>
        <v>85797.09</v>
      </c>
      <c r="D127" s="221">
        <f>181217.78+680.37</f>
        <v>181898.15</v>
      </c>
      <c r="E127" s="221">
        <v>948607.15</v>
      </c>
      <c r="F127" s="221">
        <v>366781.9</v>
      </c>
      <c r="G127" s="221">
        <f>50875.28+1470.99</f>
        <v>52346.27</v>
      </c>
      <c r="H127" s="221">
        <v>37911.92</v>
      </c>
      <c r="I127" s="221">
        <v>4535.64</v>
      </c>
      <c r="J127" s="221">
        <v>24226.21</v>
      </c>
      <c r="K127" s="221"/>
      <c r="L127" s="221">
        <f>C127+D127+G127+I127+J127</f>
        <v>348803.36000000004</v>
      </c>
      <c r="M127" s="221">
        <f>H127+K127</f>
        <v>37911.92</v>
      </c>
      <c r="N127" s="221">
        <f>E127+F127+L127+M127</f>
        <v>1702104.33</v>
      </c>
      <c r="O127" s="221"/>
      <c r="P127" s="223">
        <f>N127+O127</f>
        <v>1702104.33</v>
      </c>
    </row>
    <row r="128" spans="1:16" ht="12.75">
      <c r="A128" s="201"/>
      <c r="B128" s="224" t="s">
        <v>276</v>
      </c>
      <c r="C128" s="219">
        <f aca="true" t="shared" si="27" ref="C128:N128">C127/C126*100</f>
        <v>102.22336204739607</v>
      </c>
      <c r="D128" s="219">
        <f t="shared" si="27"/>
        <v>100.78911643782484</v>
      </c>
      <c r="E128" s="219">
        <f t="shared" si="27"/>
        <v>99.28308128989583</v>
      </c>
      <c r="F128" s="219">
        <f t="shared" si="27"/>
        <v>98.28209532333136</v>
      </c>
      <c r="G128" s="219">
        <f t="shared" si="27"/>
        <v>102.04746958827198</v>
      </c>
      <c r="H128" s="219">
        <f t="shared" si="27"/>
        <v>118.38226385636221</v>
      </c>
      <c r="I128" s="219">
        <f t="shared" si="27"/>
        <v>25.844102564102567</v>
      </c>
      <c r="J128" s="219">
        <f t="shared" si="27"/>
        <v>43.65082882882882</v>
      </c>
      <c r="K128" s="219">
        <f t="shared" si="27"/>
        <v>0</v>
      </c>
      <c r="L128" s="219">
        <f t="shared" si="27"/>
        <v>89.72410617593269</v>
      </c>
      <c r="M128" s="219">
        <f t="shared" si="27"/>
        <v>118.05050599408375</v>
      </c>
      <c r="N128" s="219">
        <f t="shared" si="27"/>
        <v>97.29001220909097</v>
      </c>
      <c r="O128" s="219"/>
      <c r="P128" s="219">
        <f>P127/P126*100</f>
        <v>97.29001220909097</v>
      </c>
    </row>
    <row r="129" spans="1:16" ht="12.75">
      <c r="A129" s="201"/>
      <c r="B129" s="218" t="s">
        <v>304</v>
      </c>
      <c r="C129" s="225">
        <v>0</v>
      </c>
      <c r="D129" s="225">
        <v>0</v>
      </c>
      <c r="E129" s="225">
        <v>0</v>
      </c>
      <c r="F129" s="225">
        <v>0</v>
      </c>
      <c r="G129" s="225">
        <v>0</v>
      </c>
      <c r="H129" s="225">
        <v>0</v>
      </c>
      <c r="I129" s="225">
        <v>0</v>
      </c>
      <c r="J129" s="225">
        <v>0</v>
      </c>
      <c r="K129" s="225">
        <v>0</v>
      </c>
      <c r="L129" s="225">
        <v>0</v>
      </c>
      <c r="M129" s="225">
        <v>0</v>
      </c>
      <c r="N129" s="225">
        <v>0</v>
      </c>
      <c r="O129" s="225"/>
      <c r="P129" s="225">
        <v>0</v>
      </c>
    </row>
    <row r="130" spans="1:16" ht="12.75">
      <c r="A130" s="201"/>
      <c r="B130" s="220" t="s">
        <v>274</v>
      </c>
      <c r="C130" s="221">
        <v>49134</v>
      </c>
      <c r="D130" s="221">
        <v>94399</v>
      </c>
      <c r="E130" s="221">
        <v>439865</v>
      </c>
      <c r="F130" s="221">
        <v>170972</v>
      </c>
      <c r="G130" s="221">
        <v>25424</v>
      </c>
      <c r="H130" s="221">
        <v>12580</v>
      </c>
      <c r="I130" s="221">
        <v>2881</v>
      </c>
      <c r="J130" s="221">
        <v>28500</v>
      </c>
      <c r="K130" s="221">
        <v>450</v>
      </c>
      <c r="L130" s="221">
        <v>200338</v>
      </c>
      <c r="M130" s="221">
        <v>13030</v>
      </c>
      <c r="N130" s="221">
        <v>824205</v>
      </c>
      <c r="O130" s="221"/>
      <c r="P130" s="221">
        <v>824205</v>
      </c>
    </row>
    <row r="131" spans="1:16" ht="12.75">
      <c r="A131" s="201"/>
      <c r="B131" s="222" t="s">
        <v>275</v>
      </c>
      <c r="C131" s="221">
        <f>42218.88+92.55+6928.56</f>
        <v>49239.99</v>
      </c>
      <c r="D131" s="221">
        <f>102582.53+2712.37</f>
        <v>105294.9</v>
      </c>
      <c r="E131" s="221">
        <v>453697</v>
      </c>
      <c r="F131" s="221">
        <v>172402.56</v>
      </c>
      <c r="G131" s="221">
        <f>24165.53+1489.14</f>
        <v>25654.67</v>
      </c>
      <c r="H131" s="221">
        <v>7815.87</v>
      </c>
      <c r="I131" s="221">
        <v>3774.93</v>
      </c>
      <c r="J131" s="221">
        <v>10805.5</v>
      </c>
      <c r="K131" s="221">
        <v>149.08</v>
      </c>
      <c r="L131" s="221">
        <f>C131+D131+G131+I131+J131</f>
        <v>194769.99</v>
      </c>
      <c r="M131" s="221">
        <f>H131+K131</f>
        <v>7964.95</v>
      </c>
      <c r="N131" s="221">
        <f>E131+F131+L131+M131</f>
        <v>828834.5</v>
      </c>
      <c r="O131" s="221"/>
      <c r="P131" s="223">
        <f>N131+O131</f>
        <v>828834.5</v>
      </c>
    </row>
    <row r="132" spans="1:16" ht="12.75">
      <c r="A132" s="201"/>
      <c r="B132" s="224" t="s">
        <v>276</v>
      </c>
      <c r="C132" s="219">
        <f aca="true" t="shared" si="28" ref="C132:N132">C131/C130*100</f>
        <v>100.21571620466479</v>
      </c>
      <c r="D132" s="219">
        <f t="shared" si="28"/>
        <v>111.54238922022479</v>
      </c>
      <c r="E132" s="219">
        <f t="shared" si="28"/>
        <v>103.14460118445432</v>
      </c>
      <c r="F132" s="219">
        <f t="shared" si="28"/>
        <v>100.8367218024004</v>
      </c>
      <c r="G132" s="219">
        <f t="shared" si="28"/>
        <v>100.90729232221523</v>
      </c>
      <c r="H132" s="219">
        <f t="shared" si="28"/>
        <v>62.12933227344992</v>
      </c>
      <c r="I132" s="219">
        <f t="shared" si="28"/>
        <v>131.02846233946545</v>
      </c>
      <c r="J132" s="219">
        <f t="shared" si="28"/>
        <v>37.9140350877193</v>
      </c>
      <c r="K132" s="219">
        <f t="shared" si="28"/>
        <v>33.12888888888889</v>
      </c>
      <c r="L132" s="219">
        <f t="shared" si="28"/>
        <v>97.2206920304685</v>
      </c>
      <c r="M132" s="219">
        <f t="shared" si="28"/>
        <v>61.12778204144283</v>
      </c>
      <c r="N132" s="219">
        <f t="shared" si="28"/>
        <v>100.56169278274216</v>
      </c>
      <c r="O132" s="219"/>
      <c r="P132" s="219">
        <f>P131/P130*100</f>
        <v>100.56169278274216</v>
      </c>
    </row>
    <row r="133" spans="1:16" ht="12.75">
      <c r="A133" s="201"/>
      <c r="B133" s="218" t="s">
        <v>305</v>
      </c>
      <c r="C133" s="225">
        <v>0</v>
      </c>
      <c r="D133" s="225">
        <v>0</v>
      </c>
      <c r="E133" s="225">
        <v>0</v>
      </c>
      <c r="F133" s="225">
        <v>0</v>
      </c>
      <c r="G133" s="225">
        <v>0</v>
      </c>
      <c r="H133" s="225">
        <v>0</v>
      </c>
      <c r="I133" s="225">
        <v>0</v>
      </c>
      <c r="J133" s="225">
        <v>0</v>
      </c>
      <c r="K133" s="225">
        <v>0</v>
      </c>
      <c r="L133" s="225">
        <v>0</v>
      </c>
      <c r="M133" s="225">
        <v>0</v>
      </c>
      <c r="N133" s="225">
        <v>0</v>
      </c>
      <c r="O133" s="225"/>
      <c r="P133" s="225">
        <v>0</v>
      </c>
    </row>
    <row r="134" spans="1:16" ht="12.75">
      <c r="A134" s="201"/>
      <c r="B134" s="220" t="s">
        <v>274</v>
      </c>
      <c r="C134" s="221">
        <v>14368</v>
      </c>
      <c r="D134" s="221">
        <v>144656</v>
      </c>
      <c r="E134" s="221">
        <v>399016</v>
      </c>
      <c r="F134" s="221">
        <v>154211</v>
      </c>
      <c r="G134" s="221">
        <v>19956</v>
      </c>
      <c r="H134" s="221">
        <v>9030</v>
      </c>
      <c r="I134" s="221">
        <v>640</v>
      </c>
      <c r="J134" s="221">
        <v>26000</v>
      </c>
      <c r="K134" s="221"/>
      <c r="L134" s="221">
        <v>205620</v>
      </c>
      <c r="M134" s="221">
        <v>9030</v>
      </c>
      <c r="N134" s="221">
        <v>767877</v>
      </c>
      <c r="O134" s="221"/>
      <c r="P134" s="221">
        <v>767877</v>
      </c>
    </row>
    <row r="135" spans="1:16" ht="12.75">
      <c r="A135" s="201"/>
      <c r="B135" s="222" t="s">
        <v>275</v>
      </c>
      <c r="C135" s="221">
        <f>13381.27+30.01</f>
        <v>13411.28</v>
      </c>
      <c r="D135" s="221">
        <f>153881.38+507.67</f>
        <v>154389.05000000002</v>
      </c>
      <c r="E135" s="221">
        <v>396959.31</v>
      </c>
      <c r="F135" s="221">
        <v>149468.09</v>
      </c>
      <c r="G135" s="221">
        <f>19178.66+1245.15</f>
        <v>20423.81</v>
      </c>
      <c r="H135" s="221">
        <v>4856.56</v>
      </c>
      <c r="I135" s="221">
        <v>3449.09</v>
      </c>
      <c r="J135" s="221">
        <v>13345.47</v>
      </c>
      <c r="K135" s="221"/>
      <c r="L135" s="221">
        <f>C135+D135+G135+I135+J135</f>
        <v>205018.7</v>
      </c>
      <c r="M135" s="221">
        <f>H135+K135</f>
        <v>4856.56</v>
      </c>
      <c r="N135" s="221">
        <f>E135+F135+L135+M135</f>
        <v>756302.6600000001</v>
      </c>
      <c r="O135" s="221"/>
      <c r="P135" s="223">
        <f>N135+O135</f>
        <v>756302.6600000001</v>
      </c>
    </row>
    <row r="136" spans="1:16" ht="12.75">
      <c r="A136" s="201"/>
      <c r="B136" s="224" t="s">
        <v>276</v>
      </c>
      <c r="C136" s="219">
        <f aca="true" t="shared" si="29" ref="C136:J136">C135/C134*100</f>
        <v>93.3413140311804</v>
      </c>
      <c r="D136" s="219">
        <f t="shared" si="29"/>
        <v>106.72841085056963</v>
      </c>
      <c r="E136" s="219">
        <f t="shared" si="29"/>
        <v>99.48455951641037</v>
      </c>
      <c r="F136" s="219">
        <f t="shared" si="29"/>
        <v>96.92440227999299</v>
      </c>
      <c r="G136" s="219">
        <f t="shared" si="29"/>
        <v>102.34420725596311</v>
      </c>
      <c r="H136" s="219">
        <f t="shared" si="29"/>
        <v>53.78250276854929</v>
      </c>
      <c r="I136" s="219">
        <f t="shared" si="29"/>
        <v>538.9203125</v>
      </c>
      <c r="J136" s="219">
        <f t="shared" si="29"/>
        <v>51.328730769230766</v>
      </c>
      <c r="K136" s="219"/>
      <c r="L136" s="219">
        <f>L135/L134*100</f>
        <v>99.70756735726097</v>
      </c>
      <c r="M136" s="219">
        <f>M135/M134*100</f>
        <v>53.78250276854929</v>
      </c>
      <c r="N136" s="219">
        <f>N135/N134*100</f>
        <v>98.4926830729401</v>
      </c>
      <c r="O136" s="219"/>
      <c r="P136" s="219">
        <f>P135/P134*100</f>
        <v>98.4926830729401</v>
      </c>
    </row>
    <row r="137" spans="1:16" ht="12.75">
      <c r="A137" s="201"/>
      <c r="B137" s="218" t="s">
        <v>306</v>
      </c>
      <c r="C137" s="225">
        <v>0</v>
      </c>
      <c r="D137" s="225">
        <v>0</v>
      </c>
      <c r="E137" s="225">
        <v>0</v>
      </c>
      <c r="F137" s="225">
        <v>0</v>
      </c>
      <c r="G137" s="225">
        <v>0</v>
      </c>
      <c r="H137" s="225">
        <v>0</v>
      </c>
      <c r="I137" s="225">
        <v>0</v>
      </c>
      <c r="J137" s="225">
        <v>0</v>
      </c>
      <c r="K137" s="225">
        <v>0</v>
      </c>
      <c r="L137" s="225">
        <v>0</v>
      </c>
      <c r="M137" s="225">
        <v>0</v>
      </c>
      <c r="N137" s="225">
        <v>0</v>
      </c>
      <c r="O137" s="225"/>
      <c r="P137" s="225">
        <v>0</v>
      </c>
    </row>
    <row r="138" spans="1:16" ht="12.75">
      <c r="A138" s="201"/>
      <c r="B138" s="220" t="s">
        <v>274</v>
      </c>
      <c r="C138" s="221">
        <v>40894</v>
      </c>
      <c r="D138" s="221">
        <v>79235</v>
      </c>
      <c r="E138" s="221">
        <v>519676</v>
      </c>
      <c r="F138" s="221">
        <v>200126</v>
      </c>
      <c r="G138" s="221">
        <v>25812</v>
      </c>
      <c r="H138" s="221">
        <v>9839</v>
      </c>
      <c r="I138" s="221">
        <v>29666</v>
      </c>
      <c r="J138" s="221">
        <v>29500</v>
      </c>
      <c r="K138" s="221">
        <v>400</v>
      </c>
      <c r="L138" s="221">
        <v>205107</v>
      </c>
      <c r="M138" s="221">
        <v>10239</v>
      </c>
      <c r="N138" s="221">
        <v>935148</v>
      </c>
      <c r="O138" s="221"/>
      <c r="P138" s="221">
        <v>935148</v>
      </c>
    </row>
    <row r="139" spans="1:16" ht="12.75">
      <c r="A139" s="201"/>
      <c r="B139" s="222" t="s">
        <v>275</v>
      </c>
      <c r="C139" s="221">
        <f>39179.46+4.94+5417.7</f>
        <v>44602.1</v>
      </c>
      <c r="D139" s="221">
        <f>94822.39+172.17</f>
        <v>94994.56</v>
      </c>
      <c r="E139" s="221">
        <v>514466.4</v>
      </c>
      <c r="F139" s="221">
        <v>191770.52</v>
      </c>
      <c r="G139" s="221">
        <f>27550.07+1818.44</f>
        <v>29368.51</v>
      </c>
      <c r="H139" s="221">
        <v>7204.77</v>
      </c>
      <c r="I139" s="221">
        <v>1700.43</v>
      </c>
      <c r="J139" s="221">
        <v>9426.06</v>
      </c>
      <c r="K139" s="221">
        <v>317.72</v>
      </c>
      <c r="L139" s="221">
        <f>C139+D139+G139+I139+J139</f>
        <v>180091.66</v>
      </c>
      <c r="M139" s="221">
        <f>H139+K139</f>
        <v>7522.490000000001</v>
      </c>
      <c r="N139" s="221">
        <f>E139+F139+L139+M139</f>
        <v>893851.0700000001</v>
      </c>
      <c r="O139" s="221"/>
      <c r="P139" s="223">
        <f>N139+O139</f>
        <v>893851.0700000001</v>
      </c>
    </row>
    <row r="140" spans="1:16" ht="12.75">
      <c r="A140" s="201"/>
      <c r="B140" s="224" t="s">
        <v>276</v>
      </c>
      <c r="C140" s="219">
        <f aca="true" t="shared" si="30" ref="C140:N140">C139/C138*100</f>
        <v>109.06758937741479</v>
      </c>
      <c r="D140" s="219">
        <f t="shared" si="30"/>
        <v>119.88964472770871</v>
      </c>
      <c r="E140" s="219">
        <f t="shared" si="30"/>
        <v>98.99752922975085</v>
      </c>
      <c r="F140" s="219">
        <f t="shared" si="30"/>
        <v>95.82489031909897</v>
      </c>
      <c r="G140" s="219">
        <f t="shared" si="30"/>
        <v>113.77851386951805</v>
      </c>
      <c r="H140" s="219">
        <f t="shared" si="30"/>
        <v>73.22664904970017</v>
      </c>
      <c r="I140" s="219">
        <f t="shared" si="30"/>
        <v>5.731915323939864</v>
      </c>
      <c r="J140" s="219">
        <f t="shared" si="30"/>
        <v>31.952745762711864</v>
      </c>
      <c r="K140" s="219">
        <f t="shared" si="30"/>
        <v>79.43</v>
      </c>
      <c r="L140" s="219">
        <f t="shared" si="30"/>
        <v>87.80376096378963</v>
      </c>
      <c r="M140" s="219">
        <f t="shared" si="30"/>
        <v>73.46899111241333</v>
      </c>
      <c r="N140" s="219">
        <f t="shared" si="30"/>
        <v>95.58391505943446</v>
      </c>
      <c r="O140" s="219"/>
      <c r="P140" s="219">
        <f>P139/P138*100</f>
        <v>95.58391505943446</v>
      </c>
    </row>
    <row r="141" spans="1:16" ht="12.75">
      <c r="A141" s="201"/>
      <c r="B141" s="218" t="s">
        <v>307</v>
      </c>
      <c r="C141" s="225">
        <v>0</v>
      </c>
      <c r="D141" s="225">
        <v>0</v>
      </c>
      <c r="E141" s="225">
        <v>0</v>
      </c>
      <c r="F141" s="225">
        <v>0</v>
      </c>
      <c r="G141" s="225">
        <v>0</v>
      </c>
      <c r="H141" s="225">
        <v>0</v>
      </c>
      <c r="I141" s="225">
        <v>0</v>
      </c>
      <c r="J141" s="225">
        <v>0</v>
      </c>
      <c r="K141" s="225">
        <v>0</v>
      </c>
      <c r="L141" s="225">
        <v>0</v>
      </c>
      <c r="M141" s="225">
        <v>0</v>
      </c>
      <c r="N141" s="225">
        <v>0</v>
      </c>
      <c r="O141" s="225"/>
      <c r="P141" s="225">
        <v>0</v>
      </c>
    </row>
    <row r="142" spans="1:16" ht="12.75">
      <c r="A142" s="201"/>
      <c r="B142" s="220" t="s">
        <v>274</v>
      </c>
      <c r="C142" s="221">
        <v>133153</v>
      </c>
      <c r="D142" s="221">
        <v>290901</v>
      </c>
      <c r="E142" s="221">
        <v>1935781</v>
      </c>
      <c r="F142" s="221">
        <v>741125</v>
      </c>
      <c r="G142" s="221">
        <v>106472</v>
      </c>
      <c r="H142" s="221">
        <v>24920</v>
      </c>
      <c r="I142" s="221">
        <v>35015</v>
      </c>
      <c r="J142" s="221">
        <v>70827</v>
      </c>
      <c r="K142" s="221">
        <v>90</v>
      </c>
      <c r="L142" s="221">
        <v>636368</v>
      </c>
      <c r="M142" s="221">
        <v>25010</v>
      </c>
      <c r="N142" s="221">
        <v>3338284</v>
      </c>
      <c r="O142" s="221"/>
      <c r="P142" s="221">
        <v>3338284</v>
      </c>
    </row>
    <row r="143" spans="1:16" ht="12.75">
      <c r="A143" s="201"/>
      <c r="B143" s="222" t="s">
        <v>275</v>
      </c>
      <c r="C143" s="221">
        <f>127182.87+9.19+1706.73</f>
        <v>128898.79</v>
      </c>
      <c r="D143" s="221">
        <f>340783.06+1883.42</f>
        <v>342666.48</v>
      </c>
      <c r="E143" s="221">
        <v>1940620.73</v>
      </c>
      <c r="F143" s="221">
        <v>750609.14</v>
      </c>
      <c r="G143" s="221">
        <f>101446.63+6953.48</f>
        <v>108400.11</v>
      </c>
      <c r="H143" s="221">
        <v>37919.25</v>
      </c>
      <c r="I143" s="221">
        <v>40745.39</v>
      </c>
      <c r="J143" s="221">
        <v>47203.49</v>
      </c>
      <c r="K143" s="221"/>
      <c r="L143" s="221">
        <f>C143+D143+G143+I143+J143</f>
        <v>667914.26</v>
      </c>
      <c r="M143" s="221">
        <f>H143+K143</f>
        <v>37919.25</v>
      </c>
      <c r="N143" s="221">
        <f>E143+F143+L143+M143</f>
        <v>3397063.38</v>
      </c>
      <c r="O143" s="221"/>
      <c r="P143" s="223">
        <f>N143+O143</f>
        <v>3397063.38</v>
      </c>
    </row>
    <row r="144" spans="1:16" ht="12.75">
      <c r="A144" s="201"/>
      <c r="B144" s="224" t="s">
        <v>276</v>
      </c>
      <c r="C144" s="219">
        <f aca="true" t="shared" si="31" ref="C144:N144">C143/C142*100</f>
        <v>96.80502129129648</v>
      </c>
      <c r="D144" s="219">
        <f t="shared" si="31"/>
        <v>117.794878670063</v>
      </c>
      <c r="E144" s="219">
        <f t="shared" si="31"/>
        <v>100.2500143352993</v>
      </c>
      <c r="F144" s="219">
        <f t="shared" si="31"/>
        <v>101.27969505818857</v>
      </c>
      <c r="G144" s="219">
        <f t="shared" si="31"/>
        <v>101.8109080321587</v>
      </c>
      <c r="H144" s="219">
        <f t="shared" si="31"/>
        <v>152.16392455858747</v>
      </c>
      <c r="I144" s="219">
        <f t="shared" si="31"/>
        <v>116.36552905897473</v>
      </c>
      <c r="J144" s="219">
        <f t="shared" si="31"/>
        <v>66.64618012904683</v>
      </c>
      <c r="K144" s="219">
        <f t="shared" si="31"/>
        <v>0</v>
      </c>
      <c r="L144" s="219">
        <f t="shared" si="31"/>
        <v>104.95723543609986</v>
      </c>
      <c r="M144" s="219">
        <f t="shared" si="31"/>
        <v>151.61635345861654</v>
      </c>
      <c r="N144" s="219">
        <f t="shared" si="31"/>
        <v>101.76076630987656</v>
      </c>
      <c r="O144" s="219"/>
      <c r="P144" s="219">
        <f>P143/P142*100</f>
        <v>101.76076630987656</v>
      </c>
    </row>
    <row r="145" spans="1:16" ht="12.75">
      <c r="A145" s="201"/>
      <c r="B145" s="218" t="s">
        <v>308</v>
      </c>
      <c r="C145" s="225">
        <v>0</v>
      </c>
      <c r="D145" s="225">
        <v>0</v>
      </c>
      <c r="E145" s="225">
        <v>0</v>
      </c>
      <c r="F145" s="225">
        <v>0</v>
      </c>
      <c r="G145" s="225">
        <v>0</v>
      </c>
      <c r="H145" s="225">
        <v>0</v>
      </c>
      <c r="I145" s="225">
        <v>0</v>
      </c>
      <c r="J145" s="225">
        <v>0</v>
      </c>
      <c r="K145" s="225">
        <v>0</v>
      </c>
      <c r="L145" s="225">
        <v>0</v>
      </c>
      <c r="M145" s="225">
        <v>0</v>
      </c>
      <c r="N145" s="225">
        <v>0</v>
      </c>
      <c r="O145" s="225"/>
      <c r="P145" s="225">
        <v>0</v>
      </c>
    </row>
    <row r="146" spans="1:16" ht="12.75">
      <c r="A146" s="201"/>
      <c r="B146" s="220" t="s">
        <v>274</v>
      </c>
      <c r="C146" s="221">
        <v>19552</v>
      </c>
      <c r="D146" s="221">
        <v>259069</v>
      </c>
      <c r="E146" s="221">
        <v>702245</v>
      </c>
      <c r="F146" s="221">
        <v>272157</v>
      </c>
      <c r="G146" s="221">
        <v>33074</v>
      </c>
      <c r="H146" s="221">
        <v>17924</v>
      </c>
      <c r="I146" s="221">
        <v>11693</v>
      </c>
      <c r="J146" s="221">
        <v>66000</v>
      </c>
      <c r="K146" s="221"/>
      <c r="L146" s="221">
        <v>389388</v>
      </c>
      <c r="M146" s="221">
        <v>17924</v>
      </c>
      <c r="N146" s="221">
        <v>1381714</v>
      </c>
      <c r="O146" s="221"/>
      <c r="P146" s="221">
        <v>1381714</v>
      </c>
    </row>
    <row r="147" spans="1:16" ht="12.75">
      <c r="A147" s="201"/>
      <c r="B147" s="222" t="s">
        <v>275</v>
      </c>
      <c r="C147" s="221">
        <f>19993.94-3.5</f>
        <v>19990.44</v>
      </c>
      <c r="D147" s="221">
        <f>263641.92+1336.9</f>
        <v>264978.82</v>
      </c>
      <c r="E147" s="221">
        <v>713835.55</v>
      </c>
      <c r="F147" s="221">
        <v>270724.96</v>
      </c>
      <c r="G147" s="221">
        <f>36437.64+1645.76</f>
        <v>38083.4</v>
      </c>
      <c r="H147" s="221">
        <v>10194.69</v>
      </c>
      <c r="I147" s="221">
        <v>5563.65</v>
      </c>
      <c r="J147" s="221">
        <v>41792.49</v>
      </c>
      <c r="K147" s="221"/>
      <c r="L147" s="221">
        <f>C147+D147+G147+I147+J147</f>
        <v>370408.80000000005</v>
      </c>
      <c r="M147" s="221">
        <f>H147+K147</f>
        <v>10194.69</v>
      </c>
      <c r="N147" s="221">
        <f>E147+F147+L147+M147</f>
        <v>1365164</v>
      </c>
      <c r="O147" s="221"/>
      <c r="P147" s="223">
        <f>N147+O147</f>
        <v>1365164</v>
      </c>
    </row>
    <row r="148" spans="1:16" ht="12.75">
      <c r="A148" s="201"/>
      <c r="B148" s="224" t="s">
        <v>276</v>
      </c>
      <c r="C148" s="219">
        <f aca="true" t="shared" si="32" ref="C148:J148">C147/C146*100</f>
        <v>102.2424304418985</v>
      </c>
      <c r="D148" s="219">
        <f t="shared" si="32"/>
        <v>102.2811760573438</v>
      </c>
      <c r="E148" s="219">
        <f t="shared" si="32"/>
        <v>101.65049946955835</v>
      </c>
      <c r="F148" s="219">
        <f t="shared" si="32"/>
        <v>99.47381842098495</v>
      </c>
      <c r="G148" s="219">
        <f t="shared" si="32"/>
        <v>115.14603616133519</v>
      </c>
      <c r="H148" s="219">
        <f t="shared" si="32"/>
        <v>56.877315331399245</v>
      </c>
      <c r="I148" s="219">
        <f t="shared" si="32"/>
        <v>47.58103138629949</v>
      </c>
      <c r="J148" s="219">
        <f t="shared" si="32"/>
        <v>63.32195454545454</v>
      </c>
      <c r="K148" s="219"/>
      <c r="L148" s="219">
        <f>L147/L146*100</f>
        <v>95.12588985793093</v>
      </c>
      <c r="M148" s="219">
        <f>M147/M146*100</f>
        <v>56.877315331399245</v>
      </c>
      <c r="N148" s="219">
        <f>N147/N146*100</f>
        <v>98.80221232469238</v>
      </c>
      <c r="O148" s="219"/>
      <c r="P148" s="219">
        <f>P147/P146*100</f>
        <v>98.80221232469238</v>
      </c>
    </row>
    <row r="149" spans="1:16" ht="12.75">
      <c r="A149" s="201"/>
      <c r="B149" s="218" t="s">
        <v>309</v>
      </c>
      <c r="C149" s="225">
        <v>0</v>
      </c>
      <c r="D149" s="225">
        <v>0</v>
      </c>
      <c r="E149" s="225">
        <v>0</v>
      </c>
      <c r="F149" s="225">
        <v>0</v>
      </c>
      <c r="G149" s="225">
        <v>0</v>
      </c>
      <c r="H149" s="225">
        <v>0</v>
      </c>
      <c r="I149" s="225">
        <v>0</v>
      </c>
      <c r="J149" s="225">
        <v>0</v>
      </c>
      <c r="K149" s="225">
        <v>0</v>
      </c>
      <c r="L149" s="225">
        <v>0</v>
      </c>
      <c r="M149" s="225">
        <v>0</v>
      </c>
      <c r="N149" s="225">
        <v>0</v>
      </c>
      <c r="O149" s="225"/>
      <c r="P149" s="225">
        <v>0</v>
      </c>
    </row>
    <row r="150" spans="1:16" ht="12.75">
      <c r="A150" s="201"/>
      <c r="B150" s="220" t="s">
        <v>274</v>
      </c>
      <c r="C150" s="221">
        <v>52412</v>
      </c>
      <c r="D150" s="221">
        <v>107185</v>
      </c>
      <c r="E150" s="221">
        <v>558796</v>
      </c>
      <c r="F150" s="221">
        <v>221796</v>
      </c>
      <c r="G150" s="221">
        <v>13679</v>
      </c>
      <c r="H150" s="221">
        <v>28128</v>
      </c>
      <c r="I150" s="221">
        <v>9480</v>
      </c>
      <c r="J150" s="221">
        <v>17441</v>
      </c>
      <c r="K150" s="221">
        <v>90</v>
      </c>
      <c r="L150" s="221">
        <v>200197</v>
      </c>
      <c r="M150" s="221">
        <v>28218</v>
      </c>
      <c r="N150" s="221">
        <v>1009007</v>
      </c>
      <c r="O150" s="221"/>
      <c r="P150" s="221">
        <v>1009007</v>
      </c>
    </row>
    <row r="151" spans="1:16" ht="12.75">
      <c r="A151" s="201"/>
      <c r="B151" s="222" t="s">
        <v>275</v>
      </c>
      <c r="C151" s="221">
        <f>34102.13-4.31+645.82</f>
        <v>34743.64</v>
      </c>
      <c r="D151" s="221">
        <f>99227.75+173</f>
        <v>99400.75</v>
      </c>
      <c r="E151" s="221">
        <v>585394.31</v>
      </c>
      <c r="F151" s="221">
        <v>224660.53</v>
      </c>
      <c r="G151" s="221">
        <f>29275.52+908.24</f>
        <v>30183.760000000002</v>
      </c>
      <c r="H151" s="221">
        <v>15724.44</v>
      </c>
      <c r="I151" s="221">
        <f>5722.42+500</f>
        <v>6222.42</v>
      </c>
      <c r="J151" s="221">
        <v>4943.69</v>
      </c>
      <c r="K151" s="221"/>
      <c r="L151" s="221">
        <f>C151+D151+G151+I151+J151</f>
        <v>175494.26000000004</v>
      </c>
      <c r="M151" s="221">
        <f>H151+K151</f>
        <v>15724.44</v>
      </c>
      <c r="N151" s="221">
        <f>E151+F151+L151+M151</f>
        <v>1001273.54</v>
      </c>
      <c r="O151" s="221"/>
      <c r="P151" s="223">
        <f>N151+O151</f>
        <v>1001273.54</v>
      </c>
    </row>
    <row r="152" spans="1:16" ht="12.75">
      <c r="A152" s="201"/>
      <c r="B152" s="224" t="s">
        <v>276</v>
      </c>
      <c r="C152" s="219">
        <f aca="true" t="shared" si="33" ref="C152:N152">C151/C150*100</f>
        <v>66.28947569258948</v>
      </c>
      <c r="D152" s="219">
        <f t="shared" si="33"/>
        <v>92.73755656108598</v>
      </c>
      <c r="E152" s="219">
        <f t="shared" si="33"/>
        <v>104.75993206823242</v>
      </c>
      <c r="F152" s="219">
        <f t="shared" si="33"/>
        <v>101.29151562697254</v>
      </c>
      <c r="G152" s="219">
        <f t="shared" si="33"/>
        <v>220.6576504130419</v>
      </c>
      <c r="H152" s="219">
        <f t="shared" si="33"/>
        <v>55.903156996587036</v>
      </c>
      <c r="I152" s="219">
        <f t="shared" si="33"/>
        <v>65.6373417721519</v>
      </c>
      <c r="J152" s="219">
        <f t="shared" si="33"/>
        <v>28.345221030904188</v>
      </c>
      <c r="K152" s="219">
        <f t="shared" si="33"/>
        <v>0</v>
      </c>
      <c r="L152" s="219">
        <f t="shared" si="33"/>
        <v>87.6607841276343</v>
      </c>
      <c r="M152" s="219">
        <f t="shared" si="33"/>
        <v>55.72485647459069</v>
      </c>
      <c r="N152" s="219">
        <f t="shared" si="33"/>
        <v>99.23355734895793</v>
      </c>
      <c r="O152" s="219"/>
      <c r="P152" s="219">
        <f>P151/P150*100</f>
        <v>99.23355734895793</v>
      </c>
    </row>
    <row r="153" spans="1:16" ht="12.75">
      <c r="A153" s="201"/>
      <c r="B153" s="218" t="s">
        <v>310</v>
      </c>
      <c r="C153" s="225">
        <v>0</v>
      </c>
      <c r="D153" s="225">
        <v>0</v>
      </c>
      <c r="E153" s="225">
        <v>0</v>
      </c>
      <c r="F153" s="225">
        <v>0</v>
      </c>
      <c r="G153" s="225">
        <v>0</v>
      </c>
      <c r="H153" s="225">
        <v>0</v>
      </c>
      <c r="I153" s="225">
        <v>0</v>
      </c>
      <c r="J153" s="225">
        <v>0</v>
      </c>
      <c r="K153" s="225">
        <v>0</v>
      </c>
      <c r="L153" s="225">
        <v>0</v>
      </c>
      <c r="M153" s="225">
        <v>0</v>
      </c>
      <c r="N153" s="225">
        <v>0</v>
      </c>
      <c r="O153" s="225"/>
      <c r="P153" s="225">
        <v>0</v>
      </c>
    </row>
    <row r="154" spans="1:16" ht="12.75">
      <c r="A154" s="201"/>
      <c r="B154" s="220" t="s">
        <v>274</v>
      </c>
      <c r="C154" s="221">
        <v>51300</v>
      </c>
      <c r="D154" s="221">
        <v>126205</v>
      </c>
      <c r="E154" s="221">
        <v>862815</v>
      </c>
      <c r="F154" s="221">
        <v>334446</v>
      </c>
      <c r="G154" s="221">
        <v>48949</v>
      </c>
      <c r="H154" s="221">
        <v>22256</v>
      </c>
      <c r="I154" s="221">
        <v>6400</v>
      </c>
      <c r="J154" s="221">
        <v>60020</v>
      </c>
      <c r="K154" s="221">
        <v>400</v>
      </c>
      <c r="L154" s="221">
        <v>292874</v>
      </c>
      <c r="M154" s="221">
        <v>22656</v>
      </c>
      <c r="N154" s="221">
        <v>1512791</v>
      </c>
      <c r="O154" s="221"/>
      <c r="P154" s="221">
        <v>1512791</v>
      </c>
    </row>
    <row r="155" spans="1:16" ht="12.75">
      <c r="A155" s="201"/>
      <c r="B155" s="222" t="s">
        <v>275</v>
      </c>
      <c r="C155" s="221">
        <f>59963.32+7.8+3839.44</f>
        <v>63810.560000000005</v>
      </c>
      <c r="D155" s="221">
        <f>145142.1+432.64</f>
        <v>145574.74000000002</v>
      </c>
      <c r="E155" s="221">
        <v>882931.6</v>
      </c>
      <c r="F155" s="221">
        <v>337710.42</v>
      </c>
      <c r="G155" s="221">
        <f>45830.99+4607.26</f>
        <v>50438.25</v>
      </c>
      <c r="H155" s="221">
        <v>22768.85</v>
      </c>
      <c r="I155" s="221">
        <v>2771.78</v>
      </c>
      <c r="J155" s="221">
        <v>21674.42</v>
      </c>
      <c r="K155" s="221">
        <v>342.66</v>
      </c>
      <c r="L155" s="221">
        <f>C155+D155+G155+I155+J155</f>
        <v>284269.75</v>
      </c>
      <c r="M155" s="221">
        <f>H155+K155</f>
        <v>23111.51</v>
      </c>
      <c r="N155" s="221">
        <f>E155+F155+L155+M155</f>
        <v>1528023.28</v>
      </c>
      <c r="O155" s="221"/>
      <c r="P155" s="223">
        <f>N155+O155</f>
        <v>1528023.28</v>
      </c>
    </row>
    <row r="156" spans="1:16" ht="12.75">
      <c r="A156" s="201"/>
      <c r="B156" s="224" t="s">
        <v>276</v>
      </c>
      <c r="C156" s="219">
        <f aca="true" t="shared" si="34" ref="C156:N156">C155/C154*100</f>
        <v>124.38705653021442</v>
      </c>
      <c r="D156" s="219">
        <f t="shared" si="34"/>
        <v>115.3478388336437</v>
      </c>
      <c r="E156" s="219">
        <f t="shared" si="34"/>
        <v>102.33150791305204</v>
      </c>
      <c r="F156" s="219">
        <f t="shared" si="34"/>
        <v>100.97606788539852</v>
      </c>
      <c r="G156" s="219">
        <f t="shared" si="34"/>
        <v>103.04245234836257</v>
      </c>
      <c r="H156" s="219">
        <f t="shared" si="34"/>
        <v>102.30432242990652</v>
      </c>
      <c r="I156" s="219">
        <f t="shared" si="34"/>
        <v>43.3090625</v>
      </c>
      <c r="J156" s="219">
        <f t="shared" si="34"/>
        <v>36.111996001332884</v>
      </c>
      <c r="K156" s="219">
        <f t="shared" si="34"/>
        <v>85.665</v>
      </c>
      <c r="L156" s="219">
        <f t="shared" si="34"/>
        <v>97.06213252115245</v>
      </c>
      <c r="M156" s="219">
        <f t="shared" si="34"/>
        <v>102.01054908192089</v>
      </c>
      <c r="N156" s="219">
        <f t="shared" si="34"/>
        <v>101.00689916849055</v>
      </c>
      <c r="O156" s="219"/>
      <c r="P156" s="219">
        <f>P155/P154*100</f>
        <v>101.00689916849055</v>
      </c>
    </row>
    <row r="157" spans="1:16" ht="12.75">
      <c r="A157" s="201"/>
      <c r="B157" s="218" t="s">
        <v>311</v>
      </c>
      <c r="C157" s="225">
        <v>0</v>
      </c>
      <c r="D157" s="225">
        <v>0</v>
      </c>
      <c r="E157" s="225">
        <v>0</v>
      </c>
      <c r="F157" s="225">
        <v>0</v>
      </c>
      <c r="G157" s="225">
        <v>0</v>
      </c>
      <c r="H157" s="225">
        <v>0</v>
      </c>
      <c r="I157" s="225">
        <v>0</v>
      </c>
      <c r="J157" s="225">
        <v>0</v>
      </c>
      <c r="K157" s="225">
        <v>0</v>
      </c>
      <c r="L157" s="225">
        <v>0</v>
      </c>
      <c r="M157" s="225">
        <v>0</v>
      </c>
      <c r="N157" s="225">
        <v>0</v>
      </c>
      <c r="O157" s="225"/>
      <c r="P157" s="225">
        <v>0</v>
      </c>
    </row>
    <row r="158" spans="1:16" ht="12.75">
      <c r="A158" s="201"/>
      <c r="B158" s="220" t="s">
        <v>274</v>
      </c>
      <c r="C158" s="221">
        <v>45358</v>
      </c>
      <c r="D158" s="221">
        <v>93772</v>
      </c>
      <c r="E158" s="221">
        <v>590919</v>
      </c>
      <c r="F158" s="221">
        <v>239917</v>
      </c>
      <c r="G158" s="221">
        <v>30635</v>
      </c>
      <c r="H158" s="221">
        <v>43865</v>
      </c>
      <c r="I158" s="221">
        <v>1803</v>
      </c>
      <c r="J158" s="221">
        <v>18000</v>
      </c>
      <c r="K158" s="221">
        <v>180</v>
      </c>
      <c r="L158" s="221">
        <v>189568</v>
      </c>
      <c r="M158" s="221">
        <v>44045</v>
      </c>
      <c r="N158" s="221">
        <v>1064449</v>
      </c>
      <c r="O158" s="221"/>
      <c r="P158" s="221">
        <v>1064449</v>
      </c>
    </row>
    <row r="159" spans="1:16" ht="12.75">
      <c r="A159" s="201"/>
      <c r="B159" s="222" t="s">
        <v>275</v>
      </c>
      <c r="C159" s="221">
        <f>48477.1+5.49</f>
        <v>48482.59</v>
      </c>
      <c r="D159" s="221">
        <f>106986.18+237.08</f>
        <v>107223.26</v>
      </c>
      <c r="E159" s="221">
        <v>598009.16</v>
      </c>
      <c r="F159" s="221">
        <v>233880.86</v>
      </c>
      <c r="G159" s="221">
        <f>30521.91+2080.24</f>
        <v>32602.15</v>
      </c>
      <c r="H159" s="221">
        <v>37539.11</v>
      </c>
      <c r="I159" s="221">
        <v>1979.21</v>
      </c>
      <c r="J159" s="221">
        <v>5703.6</v>
      </c>
      <c r="K159" s="221">
        <v>113.85</v>
      </c>
      <c r="L159" s="221">
        <f>C159+D159+G159+I159+J159</f>
        <v>195990.80999999997</v>
      </c>
      <c r="M159" s="221">
        <f>H159+K159</f>
        <v>37652.96</v>
      </c>
      <c r="N159" s="221">
        <f>E159+F159+L159+M159</f>
        <v>1065533.79</v>
      </c>
      <c r="O159" s="221"/>
      <c r="P159" s="223">
        <f>N159+O159</f>
        <v>1065533.79</v>
      </c>
    </row>
    <row r="160" spans="1:16" ht="13.5" thickBot="1">
      <c r="A160" s="201"/>
      <c r="B160" s="227" t="s">
        <v>276</v>
      </c>
      <c r="C160" s="228">
        <f aca="true" t="shared" si="35" ref="C160:N160">C159/C158*100</f>
        <v>106.88872966180165</v>
      </c>
      <c r="D160" s="228">
        <f t="shared" si="35"/>
        <v>114.34464445676747</v>
      </c>
      <c r="E160" s="228">
        <f t="shared" si="35"/>
        <v>101.19985311015553</v>
      </c>
      <c r="F160" s="228">
        <f t="shared" si="35"/>
        <v>97.48407157475293</v>
      </c>
      <c r="G160" s="228">
        <f t="shared" si="35"/>
        <v>106.42125020401502</v>
      </c>
      <c r="H160" s="228">
        <f t="shared" si="35"/>
        <v>85.57873019491622</v>
      </c>
      <c r="I160" s="228">
        <f t="shared" si="35"/>
        <v>109.77315585135885</v>
      </c>
      <c r="J160" s="228">
        <f t="shared" si="35"/>
        <v>31.686666666666667</v>
      </c>
      <c r="K160" s="228">
        <f t="shared" si="35"/>
        <v>63.24999999999999</v>
      </c>
      <c r="L160" s="228">
        <f t="shared" si="35"/>
        <v>103.38812985313974</v>
      </c>
      <c r="M160" s="228">
        <f t="shared" si="35"/>
        <v>85.48747871495061</v>
      </c>
      <c r="N160" s="228">
        <f t="shared" si="35"/>
        <v>100.10191094171728</v>
      </c>
      <c r="O160" s="228"/>
      <c r="P160" s="228">
        <f>P159/P158*100</f>
        <v>100.10191094171728</v>
      </c>
    </row>
    <row r="161" spans="1:16" ht="12.75">
      <c r="A161" s="201"/>
      <c r="B161" s="229" t="s">
        <v>312</v>
      </c>
      <c r="C161" s="219">
        <v>0</v>
      </c>
      <c r="D161" s="219">
        <v>0</v>
      </c>
      <c r="E161" s="219">
        <v>0</v>
      </c>
      <c r="F161" s="219">
        <v>0</v>
      </c>
      <c r="G161" s="219">
        <v>0</v>
      </c>
      <c r="H161" s="219">
        <v>0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  <c r="O161" s="219"/>
      <c r="P161" s="219">
        <v>0</v>
      </c>
    </row>
    <row r="162" spans="1:16" ht="12.75">
      <c r="A162" s="201"/>
      <c r="B162" s="220" t="s">
        <v>274</v>
      </c>
      <c r="C162" s="221">
        <v>2271598</v>
      </c>
      <c r="D162" s="221">
        <v>7069015</v>
      </c>
      <c r="E162" s="221">
        <v>33743095</v>
      </c>
      <c r="F162" s="221">
        <v>13114892</v>
      </c>
      <c r="G162" s="221">
        <v>1773609</v>
      </c>
      <c r="H162" s="221">
        <v>970518</v>
      </c>
      <c r="I162" s="221">
        <v>290148</v>
      </c>
      <c r="J162" s="221">
        <v>1673658</v>
      </c>
      <c r="K162" s="221">
        <v>11000</v>
      </c>
      <c r="L162" s="221">
        <v>13078028</v>
      </c>
      <c r="M162" s="221">
        <v>981518</v>
      </c>
      <c r="N162" s="221">
        <v>60917533</v>
      </c>
      <c r="O162" s="221"/>
      <c r="P162" s="221">
        <v>60917533</v>
      </c>
    </row>
    <row r="163" spans="1:16" ht="12.75">
      <c r="A163" s="201"/>
      <c r="B163" s="218" t="s">
        <v>275</v>
      </c>
      <c r="C163" s="223">
        <f aca="true" t="shared" si="36" ref="C163:N163">SUM(C19+C23+C27+C31+C35+C39+C43+C47+C51+C55+C59+C63+C67+C71+C75+C79+C83+C87+C91+C95+C99+C103+C107+C111+C115+C119+C123+C127+C131+C135+C139+C143+C147+C151+C155+C159)</f>
        <v>2399302.52</v>
      </c>
      <c r="D163" s="223">
        <f t="shared" si="36"/>
        <v>7617418.859999999</v>
      </c>
      <c r="E163" s="223">
        <f t="shared" si="36"/>
        <v>33934557.779999994</v>
      </c>
      <c r="F163" s="223">
        <f t="shared" si="36"/>
        <v>12884740.74</v>
      </c>
      <c r="G163" s="223">
        <f t="shared" si="36"/>
        <v>1886671.11</v>
      </c>
      <c r="H163" s="223">
        <f t="shared" si="36"/>
        <v>783717.3900000001</v>
      </c>
      <c r="I163" s="223">
        <f t="shared" si="36"/>
        <v>214785.39</v>
      </c>
      <c r="J163" s="223">
        <f t="shared" si="36"/>
        <v>566164.26</v>
      </c>
      <c r="K163" s="223">
        <f t="shared" si="36"/>
        <v>8545.93</v>
      </c>
      <c r="L163" s="223">
        <f t="shared" si="36"/>
        <v>12684342.140000002</v>
      </c>
      <c r="M163" s="223">
        <f t="shared" si="36"/>
        <v>792263.32</v>
      </c>
      <c r="N163" s="223">
        <f t="shared" si="36"/>
        <v>60295903.97999999</v>
      </c>
      <c r="O163" s="223"/>
      <c r="P163" s="223">
        <f>SUM(P19+P23+P27+P31+P35+P39+P43+P47+P51+P55+P59+P63+P67+P71+P75+P79+P83+P87+P91+P95+P99+P103+P107+P111+P115+P119+P123+P127+P131+P135+P139+P143+P147+P151+P155+P159)</f>
        <v>60295903.97999999</v>
      </c>
    </row>
    <row r="164" spans="1:16" ht="13.5" thickBot="1">
      <c r="A164" s="201"/>
      <c r="B164" s="227" t="s">
        <v>276</v>
      </c>
      <c r="C164" s="228">
        <f aca="true" t="shared" si="37" ref="C164:N164">C163/C162*100</f>
        <v>105.62179223612628</v>
      </c>
      <c r="D164" s="228">
        <f t="shared" si="37"/>
        <v>107.75785395843691</v>
      </c>
      <c r="E164" s="228">
        <f t="shared" si="37"/>
        <v>100.56741321446651</v>
      </c>
      <c r="F164" s="228">
        <f t="shared" si="37"/>
        <v>98.24511509511478</v>
      </c>
      <c r="G164" s="228">
        <f t="shared" si="37"/>
        <v>106.374691941685</v>
      </c>
      <c r="H164" s="228">
        <f t="shared" si="37"/>
        <v>80.75248372518594</v>
      </c>
      <c r="I164" s="228">
        <f t="shared" si="37"/>
        <v>74.02614872409943</v>
      </c>
      <c r="J164" s="228">
        <f t="shared" si="37"/>
        <v>33.827954098149085</v>
      </c>
      <c r="K164" s="228">
        <f t="shared" si="37"/>
        <v>77.69027272727273</v>
      </c>
      <c r="L164" s="228">
        <f t="shared" si="37"/>
        <v>96.98971542192754</v>
      </c>
      <c r="M164" s="228">
        <f t="shared" si="37"/>
        <v>80.71816512789373</v>
      </c>
      <c r="N164" s="228">
        <f t="shared" si="37"/>
        <v>98.97955647678639</v>
      </c>
      <c r="O164" s="228"/>
      <c r="P164" s="230">
        <f>P163/P162*100</f>
        <v>98.97955647678639</v>
      </c>
    </row>
  </sheetData>
  <sheetProtection/>
  <printOptions horizontalCentered="1"/>
  <pageMargins left="0" right="0" top="0.23" bottom="0.16" header="0" footer="0"/>
  <pageSetup fitToHeight="2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farkasova_k</dc:creator>
  <cp:keywords/>
  <dc:description/>
  <cp:lastModifiedBy>SP-Admin</cp:lastModifiedBy>
  <cp:lastPrinted>2013-03-12T12:49:47Z</cp:lastPrinted>
  <dcterms:created xsi:type="dcterms:W3CDTF">2012-12-10T07:18:02Z</dcterms:created>
  <dcterms:modified xsi:type="dcterms:W3CDTF">2013-07-25T06:44:58Z</dcterms:modified>
  <cp:category/>
  <cp:version/>
  <cp:contentType/>
  <cp:contentStatus/>
</cp:coreProperties>
</file>